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BCP\UPI\00_Produtos\09_Obrigacoes\Obrigações de Caixa_RendFixo\Obrigações de Caixa - Emissões 2025\OPS FC Porto SAD 2025-2028\Simulador\"/>
    </mc:Choice>
  </mc:AlternateContent>
  <xr:revisionPtr revIDLastSave="0" documentId="13_ncr:1_{6A8AA576-BE9A-4C89-8965-7F6475FCABC4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imulador TIR" sheetId="4" r:id="rId1"/>
  </sheets>
  <definedNames>
    <definedName name="_xlnm.Print_Area" localSheetId="0">'Simulador TIR'!$B$3:$R$41,'Simulador TIR'!$B$64:$R$98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56" i="4" l="1"/>
  <c r="E32" i="4" l="1"/>
  <c r="Z49" i="4"/>
  <c r="D58" i="4" l="1"/>
  <c r="D57" i="4"/>
  <c r="D54" i="4"/>
  <c r="B54" i="4"/>
  <c r="E53" i="4"/>
  <c r="I52" i="4"/>
  <c r="D51" i="4"/>
  <c r="E51" i="4" s="1"/>
  <c r="E50" i="4"/>
  <c r="W49" i="4"/>
  <c r="T49" i="4"/>
  <c r="Q49" i="4"/>
  <c r="N49" i="4"/>
  <c r="K49" i="4"/>
  <c r="H49" i="4"/>
  <c r="F49" i="4"/>
  <c r="E49" i="4"/>
  <c r="D49" i="4"/>
  <c r="G49" i="4" s="1"/>
  <c r="P57" i="4" l="1"/>
  <c r="I57" i="4"/>
  <c r="Z57" i="4"/>
  <c r="N57" i="4"/>
  <c r="Q57" i="4"/>
  <c r="R57" i="4"/>
  <c r="X57" i="4"/>
  <c r="K57" i="4"/>
  <c r="M57" i="4"/>
  <c r="S57" i="4"/>
  <c r="T57" i="4"/>
  <c r="G57" i="4"/>
  <c r="J57" i="4"/>
  <c r="E57" i="4"/>
  <c r="U57" i="4"/>
  <c r="F57" i="4"/>
  <c r="V57" i="4"/>
  <c r="W57" i="4"/>
  <c r="H57" i="4"/>
  <c r="H76" i="4" s="1"/>
  <c r="Y57" i="4"/>
  <c r="L57" i="4"/>
  <c r="O57" i="4"/>
  <c r="F58" i="4"/>
  <c r="V58" i="4"/>
  <c r="R58" i="4"/>
  <c r="G58" i="4"/>
  <c r="W58" i="4"/>
  <c r="H58" i="4"/>
  <c r="X58" i="4"/>
  <c r="P58" i="4"/>
  <c r="I58" i="4"/>
  <c r="Y58" i="4"/>
  <c r="J58" i="4"/>
  <c r="Z58" i="4"/>
  <c r="N58" i="4"/>
  <c r="O58" i="4"/>
  <c r="S58" i="4"/>
  <c r="U58" i="4"/>
  <c r="K58" i="4"/>
  <c r="E58" i="4"/>
  <c r="L58" i="4"/>
  <c r="M58" i="4"/>
  <c r="Q58" i="4"/>
  <c r="T58" i="4"/>
  <c r="F53" i="4"/>
  <c r="G53" i="4" s="1"/>
  <c r="E52" i="4"/>
  <c r="E28" i="4" s="1"/>
  <c r="E27" i="4"/>
  <c r="Y49" i="4"/>
  <c r="X49" i="4"/>
  <c r="E54" i="4"/>
  <c r="V49" i="4"/>
  <c r="O49" i="4"/>
  <c r="P49" i="4"/>
  <c r="I49" i="4"/>
  <c r="L49" i="4"/>
  <c r="J49" i="4"/>
  <c r="M49" i="4"/>
  <c r="R49" i="4"/>
  <c r="S49" i="4"/>
  <c r="F50" i="4"/>
  <c r="G50" i="4" s="1"/>
  <c r="H50" i="4" s="1"/>
  <c r="I50" i="4" s="1"/>
  <c r="J50" i="4" s="1"/>
  <c r="K50" i="4" s="1"/>
  <c r="L50" i="4" s="1"/>
  <c r="U49" i="4"/>
  <c r="F54" i="4" l="1"/>
  <c r="F55" i="4" s="1"/>
  <c r="F59" i="4" s="1"/>
  <c r="F60" i="4" s="1"/>
  <c r="E55" i="4"/>
  <c r="E33" i="4"/>
  <c r="E34" i="4"/>
  <c r="E26" i="4"/>
  <c r="M50" i="4"/>
  <c r="G54" i="4"/>
  <c r="E59" i="4" l="1"/>
  <c r="N50" i="4"/>
  <c r="G55" i="4"/>
  <c r="G59" i="4" s="1"/>
  <c r="E60" i="4" l="1"/>
  <c r="G60" i="4"/>
  <c r="O50" i="4"/>
  <c r="P50" i="4" l="1"/>
  <c r="Q50" i="4" l="1"/>
  <c r="R50" i="4" l="1"/>
  <c r="S50" i="4" l="1"/>
  <c r="T50" i="4" l="1"/>
  <c r="U50" i="4" l="1"/>
  <c r="V50" i="4" l="1"/>
  <c r="W50" i="4" l="1"/>
  <c r="X50" i="4" l="1"/>
  <c r="Y50" i="4" l="1"/>
  <c r="Z50" i="4" s="1"/>
  <c r="F8" i="4" l="1"/>
  <c r="F14" i="4"/>
  <c r="K67" i="4" l="1"/>
  <c r="J67" i="4"/>
  <c r="I67" i="4"/>
  <c r="H67" i="4"/>
  <c r="G67" i="4"/>
  <c r="L67" i="4"/>
  <c r="N84" i="4"/>
  <c r="N85" i="4"/>
  <c r="N86" i="4"/>
  <c r="N90" i="4"/>
  <c r="O84" i="4"/>
  <c r="O85" i="4"/>
  <c r="O86" i="4"/>
  <c r="O90" i="4"/>
  <c r="O83" i="4"/>
  <c r="O82" i="4"/>
  <c r="N82" i="4"/>
  <c r="H82" i="4"/>
  <c r="I90" i="4" l="1"/>
  <c r="J90" i="4"/>
  <c r="K90" i="4"/>
  <c r="L90" i="4"/>
  <c r="M90" i="4"/>
  <c r="I86" i="4"/>
  <c r="J86" i="4"/>
  <c r="K86" i="4"/>
  <c r="L86" i="4"/>
  <c r="M86" i="4"/>
  <c r="I85" i="4"/>
  <c r="J85" i="4"/>
  <c r="K85" i="4"/>
  <c r="L85" i="4"/>
  <c r="M85" i="4"/>
  <c r="I84" i="4"/>
  <c r="J84" i="4"/>
  <c r="K84" i="4"/>
  <c r="L84" i="4"/>
  <c r="M84" i="4"/>
  <c r="I83" i="4"/>
  <c r="L83" i="4"/>
  <c r="M82" i="4"/>
  <c r="C46" i="4"/>
  <c r="K82" i="4"/>
  <c r="J82" i="4"/>
  <c r="G82" i="4"/>
  <c r="E82" i="4"/>
  <c r="O67" i="4"/>
  <c r="M67" i="4"/>
  <c r="F67" i="4"/>
  <c r="D92" i="4"/>
  <c r="D91" i="4"/>
  <c r="H90" i="4"/>
  <c r="D88" i="4"/>
  <c r="B88" i="4"/>
  <c r="H86" i="4"/>
  <c r="H85" i="4"/>
  <c r="D85" i="4"/>
  <c r="H84" i="4"/>
  <c r="D83" i="4"/>
  <c r="L82" i="4"/>
  <c r="I82" i="4"/>
  <c r="D77" i="4"/>
  <c r="D76" i="4"/>
  <c r="G90" i="4"/>
  <c r="F90" i="4"/>
  <c r="E90" i="4"/>
  <c r="O75" i="4"/>
  <c r="N75" i="4"/>
  <c r="M75" i="4"/>
  <c r="L75" i="4"/>
  <c r="K75" i="4"/>
  <c r="J75" i="4"/>
  <c r="I75" i="4"/>
  <c r="H75" i="4"/>
  <c r="G75" i="4"/>
  <c r="F75" i="4"/>
  <c r="E75" i="4"/>
  <c r="G74" i="4"/>
  <c r="F74" i="4"/>
  <c r="E74" i="4"/>
  <c r="G73" i="4"/>
  <c r="F73" i="4"/>
  <c r="E73" i="4"/>
  <c r="D73" i="4"/>
  <c r="B73" i="4"/>
  <c r="G72" i="4"/>
  <c r="F72" i="4"/>
  <c r="E72" i="4"/>
  <c r="G86" i="4"/>
  <c r="F86" i="4"/>
  <c r="E86" i="4"/>
  <c r="O71" i="4"/>
  <c r="N71" i="4"/>
  <c r="M71" i="4"/>
  <c r="L71" i="4"/>
  <c r="K71" i="4"/>
  <c r="J71" i="4"/>
  <c r="I71" i="4"/>
  <c r="H71" i="4"/>
  <c r="G71" i="4"/>
  <c r="F71" i="4"/>
  <c r="G85" i="4"/>
  <c r="F85" i="4"/>
  <c r="E85" i="4"/>
  <c r="O70" i="4"/>
  <c r="N70" i="4"/>
  <c r="M70" i="4"/>
  <c r="L70" i="4"/>
  <c r="K70" i="4"/>
  <c r="J70" i="4"/>
  <c r="I70" i="4"/>
  <c r="H70" i="4"/>
  <c r="G70" i="4"/>
  <c r="F70" i="4"/>
  <c r="D70" i="4"/>
  <c r="G84" i="4"/>
  <c r="F84" i="4"/>
  <c r="E84" i="4"/>
  <c r="O69" i="4"/>
  <c r="N69" i="4"/>
  <c r="M69" i="4"/>
  <c r="L69" i="4"/>
  <c r="K69" i="4"/>
  <c r="J69" i="4"/>
  <c r="I69" i="4"/>
  <c r="H69" i="4"/>
  <c r="G69" i="4"/>
  <c r="F69" i="4"/>
  <c r="F83" i="4"/>
  <c r="N68" i="4"/>
  <c r="K68" i="4"/>
  <c r="H68" i="4"/>
  <c r="E68" i="4"/>
  <c r="D68" i="4"/>
  <c r="F82" i="4"/>
  <c r="N67" i="4"/>
  <c r="E67" i="4"/>
  <c r="D30" i="4"/>
  <c r="E69" i="4"/>
  <c r="D35" i="4"/>
  <c r="D32" i="4"/>
  <c r="D31" i="4"/>
  <c r="B30" i="4"/>
  <c r="D29" i="4"/>
  <c r="D28" i="4"/>
  <c r="M3" i="4"/>
  <c r="Z46" i="4" l="1"/>
  <c r="C47" i="4"/>
  <c r="D46" i="4"/>
  <c r="H53" i="4" s="1"/>
  <c r="O91" i="4"/>
  <c r="N91" i="4"/>
  <c r="N92" i="4"/>
  <c r="O92" i="4"/>
  <c r="K91" i="4"/>
  <c r="L91" i="4"/>
  <c r="N83" i="4"/>
  <c r="J92" i="4"/>
  <c r="F76" i="4"/>
  <c r="M76" i="4"/>
  <c r="N76" i="4"/>
  <c r="O76" i="4"/>
  <c r="J91" i="4"/>
  <c r="K77" i="4"/>
  <c r="G92" i="4"/>
  <c r="L76" i="4"/>
  <c r="H91" i="4"/>
  <c r="F77" i="4"/>
  <c r="M77" i="4"/>
  <c r="G76" i="4"/>
  <c r="D34" i="4"/>
  <c r="H92" i="4"/>
  <c r="G77" i="4"/>
  <c r="I76" i="4"/>
  <c r="E91" i="4"/>
  <c r="M91" i="4"/>
  <c r="I77" i="4"/>
  <c r="K92" i="4"/>
  <c r="H77" i="4"/>
  <c r="J76" i="4"/>
  <c r="M92" i="4"/>
  <c r="N77" i="4"/>
  <c r="O77" i="4"/>
  <c r="J77" i="4"/>
  <c r="F91" i="4"/>
  <c r="L92" i="4"/>
  <c r="F92" i="4"/>
  <c r="L77" i="4"/>
  <c r="D33" i="4"/>
  <c r="K76" i="4"/>
  <c r="G91" i="4"/>
  <c r="K83" i="4"/>
  <c r="J83" i="4"/>
  <c r="I91" i="4"/>
  <c r="I92" i="4"/>
  <c r="E70" i="4"/>
  <c r="D27" i="4"/>
  <c r="D26" i="4"/>
  <c r="H54" i="4" l="1"/>
  <c r="H55" i="4" s="1"/>
  <c r="I53" i="4"/>
  <c r="I54" i="4" s="1"/>
  <c r="G78" i="4"/>
  <c r="E92" i="4"/>
  <c r="G83" i="4"/>
  <c r="M83" i="4"/>
  <c r="J68" i="4"/>
  <c r="I68" i="4"/>
  <c r="E77" i="4"/>
  <c r="E76" i="4"/>
  <c r="L68" i="4"/>
  <c r="E83" i="4"/>
  <c r="H72" i="4"/>
  <c r="H83" i="4"/>
  <c r="O68" i="4"/>
  <c r="G68" i="4"/>
  <c r="E71" i="4"/>
  <c r="M68" i="4"/>
  <c r="F68" i="4"/>
  <c r="I72" i="4" l="1"/>
  <c r="J53" i="4"/>
  <c r="J54" i="4" s="1"/>
  <c r="H59" i="4"/>
  <c r="I55" i="4"/>
  <c r="I73" i="4"/>
  <c r="F78" i="4"/>
  <c r="E78" i="4"/>
  <c r="E79" i="4" s="1"/>
  <c r="F79" i="4"/>
  <c r="H73" i="4"/>
  <c r="G79" i="4"/>
  <c r="J72" i="4" l="1"/>
  <c r="K53" i="4"/>
  <c r="L53" i="4" s="1"/>
  <c r="H60" i="4"/>
  <c r="I59" i="4"/>
  <c r="I78" i="4" s="1"/>
  <c r="I74" i="4"/>
  <c r="J55" i="4"/>
  <c r="J73" i="4"/>
  <c r="H74" i="4"/>
  <c r="K72" i="4" l="1"/>
  <c r="K54" i="4"/>
  <c r="I79" i="4"/>
  <c r="I60" i="4"/>
  <c r="J59" i="4"/>
  <c r="J60" i="4" s="1"/>
  <c r="J74" i="4"/>
  <c r="K55" i="4"/>
  <c r="K73" i="4"/>
  <c r="L54" i="4"/>
  <c r="M53" i="4"/>
  <c r="L72" i="4"/>
  <c r="H78" i="4"/>
  <c r="H79" i="4" s="1"/>
  <c r="K59" i="4" l="1"/>
  <c r="K78" i="4" s="1"/>
  <c r="K74" i="4"/>
  <c r="L55" i="4"/>
  <c r="L73" i="4"/>
  <c r="J78" i="4"/>
  <c r="J79" i="4" s="1"/>
  <c r="M54" i="4"/>
  <c r="N53" i="4"/>
  <c r="M72" i="4"/>
  <c r="K60" i="4" l="1"/>
  <c r="K79" i="4"/>
  <c r="L59" i="4"/>
  <c r="L74" i="4"/>
  <c r="O53" i="4"/>
  <c r="N54" i="4"/>
  <c r="N72" i="4"/>
  <c r="M55" i="4"/>
  <c r="M73" i="4"/>
  <c r="M59" i="4" l="1"/>
  <c r="M74" i="4"/>
  <c r="P53" i="4"/>
  <c r="O54" i="4"/>
  <c r="O72" i="4"/>
  <c r="N55" i="4"/>
  <c r="N73" i="4"/>
  <c r="L60" i="4"/>
  <c r="L78" i="4"/>
  <c r="L79" i="4" s="1"/>
  <c r="Q53" i="4" l="1"/>
  <c r="P54" i="4"/>
  <c r="E87" i="4"/>
  <c r="O55" i="4"/>
  <c r="O73" i="4"/>
  <c r="N59" i="4"/>
  <c r="N74" i="4"/>
  <c r="M60" i="4"/>
  <c r="M78" i="4"/>
  <c r="M79" i="4" s="1"/>
  <c r="N78" i="4" l="1"/>
  <c r="N79" i="4" s="1"/>
  <c r="O59" i="4"/>
  <c r="O74" i="4"/>
  <c r="P55" i="4"/>
  <c r="E88" i="4"/>
  <c r="R53" i="4"/>
  <c r="Q54" i="4"/>
  <c r="F87" i="4"/>
  <c r="N60" i="4"/>
  <c r="Q55" i="4" l="1"/>
  <c r="F88" i="4"/>
  <c r="P59" i="4"/>
  <c r="E89" i="4"/>
  <c r="S53" i="4"/>
  <c r="R54" i="4"/>
  <c r="G87" i="4"/>
  <c r="O60" i="4"/>
  <c r="O78" i="4"/>
  <c r="O79" i="4" s="1"/>
  <c r="R55" i="4" l="1"/>
  <c r="G88" i="4"/>
  <c r="T53" i="4"/>
  <c r="S54" i="4"/>
  <c r="H87" i="4"/>
  <c r="Q59" i="4"/>
  <c r="F89" i="4"/>
  <c r="P60" i="4"/>
  <c r="E93" i="4"/>
  <c r="E94" i="4" s="1"/>
  <c r="Q60" i="4" l="1"/>
  <c r="F93" i="4"/>
  <c r="F94" i="4" s="1"/>
  <c r="S55" i="4"/>
  <c r="H88" i="4"/>
  <c r="U53" i="4"/>
  <c r="T54" i="4"/>
  <c r="I87" i="4"/>
  <c r="R59" i="4"/>
  <c r="G89" i="4"/>
  <c r="T55" i="4" l="1"/>
  <c r="I88" i="4"/>
  <c r="V53" i="4"/>
  <c r="U54" i="4"/>
  <c r="J87" i="4"/>
  <c r="S59" i="4"/>
  <c r="H93" i="4" s="1"/>
  <c r="H89" i="4"/>
  <c r="R60" i="4"/>
  <c r="G93" i="4"/>
  <c r="G94" i="4" s="1"/>
  <c r="H94" i="4" l="1"/>
  <c r="S60" i="4"/>
  <c r="U55" i="4"/>
  <c r="J88" i="4"/>
  <c r="T59" i="4"/>
  <c r="I89" i="4"/>
  <c r="V54" i="4"/>
  <c r="W53" i="4"/>
  <c r="K87" i="4"/>
  <c r="X53" i="4" l="1"/>
  <c r="W54" i="4"/>
  <c r="L87" i="4"/>
  <c r="V55" i="4"/>
  <c r="K88" i="4"/>
  <c r="U59" i="4"/>
  <c r="J93" i="4" s="1"/>
  <c r="J89" i="4"/>
  <c r="I93" i="4"/>
  <c r="I94" i="4" s="1"/>
  <c r="T60" i="4"/>
  <c r="J94" i="4" l="1"/>
  <c r="U60" i="4"/>
  <c r="W55" i="4"/>
  <c r="L88" i="4"/>
  <c r="X54" i="4"/>
  <c r="Y53" i="4"/>
  <c r="Z53" i="4" s="1"/>
  <c r="E29" i="4" s="1"/>
  <c r="M87" i="4"/>
  <c r="V59" i="4"/>
  <c r="K89" i="4"/>
  <c r="Z54" i="4" l="1"/>
  <c r="Y54" i="4"/>
  <c r="N87" i="4"/>
  <c r="V60" i="4"/>
  <c r="K93" i="4"/>
  <c r="K94" i="4" s="1"/>
  <c r="W59" i="4"/>
  <c r="L93" i="4" s="1"/>
  <c r="L89" i="4"/>
  <c r="X55" i="4"/>
  <c r="M88" i="4"/>
  <c r="L94" i="4" l="1"/>
  <c r="Z55" i="4"/>
  <c r="E30" i="4"/>
  <c r="W60" i="4"/>
  <c r="X59" i="4"/>
  <c r="M89" i="4"/>
  <c r="O87" i="4"/>
  <c r="Y55" i="4"/>
  <c r="N88" i="4"/>
  <c r="Z59" i="4" l="1"/>
  <c r="E31" i="4"/>
  <c r="Y59" i="4"/>
  <c r="N93" i="4" s="1"/>
  <c r="N89" i="4"/>
  <c r="X60" i="4"/>
  <c r="M93" i="4"/>
  <c r="M94" i="4" s="1"/>
  <c r="O88" i="4"/>
  <c r="E35" i="4" l="1"/>
  <c r="Z60" i="4"/>
  <c r="N94" i="4"/>
  <c r="Y60" i="4"/>
  <c r="O93" i="4"/>
  <c r="O89" i="4"/>
  <c r="O94" i="4" l="1"/>
  <c r="E36" i="4"/>
  <c r="F10" i="4" l="1"/>
  <c r="F12" i="4"/>
</calcChain>
</file>

<file path=xl/sharedStrings.xml><?xml version="1.0" encoding="utf-8"?>
<sst xmlns="http://schemas.openxmlformats.org/spreadsheetml/2006/main" count="92" uniqueCount="49">
  <si>
    <t>Internet</t>
  </si>
  <si>
    <t>Montante a investir</t>
  </si>
  <si>
    <t>Prazo</t>
  </si>
  <si>
    <t>TANB</t>
  </si>
  <si>
    <t>Canal de Subscrição</t>
  </si>
  <si>
    <t>Portes</t>
  </si>
  <si>
    <t>IVA</t>
  </si>
  <si>
    <t>Preçário</t>
  </si>
  <si>
    <t>Comissão de Subscrição*</t>
  </si>
  <si>
    <t>** Acresce IVA 23%</t>
  </si>
  <si>
    <t>* Acresce IS 4%</t>
  </si>
  <si>
    <t>Comissão Reembolso **</t>
  </si>
  <si>
    <t>Comissão Rendimentos **</t>
  </si>
  <si>
    <t>-</t>
  </si>
  <si>
    <t>Despesas Expediente**</t>
  </si>
  <si>
    <t>Pagamento de Juros Bruto</t>
  </si>
  <si>
    <t>Investimento</t>
  </si>
  <si>
    <t>Imposto do Selo</t>
  </si>
  <si>
    <t>TIR Líquida de Impostos e Comissões</t>
  </si>
  <si>
    <t>Juros Líquidos de Impostos e Comissões</t>
  </si>
  <si>
    <t>Data Simulação:</t>
  </si>
  <si>
    <t>Cash-Flows</t>
  </si>
  <si>
    <t>Regime Fiscal</t>
  </si>
  <si>
    <t>Geral: IRS</t>
  </si>
  <si>
    <t>Geral: IRC</t>
  </si>
  <si>
    <t>Açores: IRS</t>
  </si>
  <si>
    <t>Açores: IRC</t>
  </si>
  <si>
    <t>TOTAL</t>
  </si>
  <si>
    <t>DETALHES</t>
  </si>
  <si>
    <t>Comissão Guarda Títulos **</t>
  </si>
  <si>
    <t>Rubricas</t>
  </si>
  <si>
    <t>Sim</t>
  </si>
  <si>
    <t>Não</t>
  </si>
  <si>
    <t>Já paga Comissão de Guarda de Títulos ?</t>
  </si>
  <si>
    <t>Tem Notas de Lançamento digitais?</t>
  </si>
  <si>
    <t>Ordem ao Balcão p/ Cliente com transação bolsa site/app há - 3M</t>
  </si>
  <si>
    <t>Ordem ao Balcão p/ Cliente sem transação bolsa site/app há - 3M</t>
  </si>
  <si>
    <t>Compensação recebida de terceiros pelo Banco</t>
  </si>
  <si>
    <t>ALTERAR:</t>
  </si>
  <si>
    <t>cálculo JB</t>
  </si>
  <si>
    <t>BANCO COMERCIAL PORTUGUÊS, S.A., com sede na Praça D. João I, 28, Porto, com o Capital Social de 3 000 000 000,00 Euros, matriculada na Conservatória do Registo Comercial do Porto, com o número único de matrícula e de identificação fiscal  501 525 882</t>
  </si>
  <si>
    <t>disponíveis aqui.</t>
  </si>
  <si>
    <t>Para situações distintas das apresentadas por favor contacte 351 21 005 24 24, +351 91 827 24 24, +351 93 522 24 24 ou +351 96 599 24 24.
Atendimento personalizado 24h (chamada para a rede fixa ou móvel nacional). O custo das comunicações depende do tarifário acordado com o seu operador.</t>
  </si>
  <si>
    <t>Obrigações FC Porto SAD 2025-2028</t>
  </si>
  <si>
    <t>3 anos e 8 meses</t>
  </si>
  <si>
    <r>
      <rPr>
        <b/>
        <i/>
        <sz val="12"/>
        <color theme="0"/>
        <rFont val="Montserrat"/>
      </rPr>
      <t>Cash-Flows</t>
    </r>
    <r>
      <rPr>
        <b/>
        <sz val="12"/>
        <color theme="0"/>
        <rFont val="Montserrat"/>
      </rPr>
      <t xml:space="preserve"> Totais</t>
    </r>
  </si>
  <si>
    <r>
      <t>Comissão Guarda Títulos</t>
    </r>
    <r>
      <rPr>
        <b/>
        <sz val="11"/>
        <color theme="1"/>
        <rFont val="Montserrat"/>
      </rPr>
      <t>**</t>
    </r>
  </si>
  <si>
    <r>
      <rPr>
        <b/>
        <i/>
        <sz val="11"/>
        <rFont val="Montserrat"/>
      </rPr>
      <t>Disclamer:</t>
    </r>
    <r>
      <rPr>
        <sz val="11"/>
        <rFont val="Montserrat"/>
      </rPr>
      <t xml:space="preserve">
Os valores constantes da presente simulação correspondem à taxa interna de rentabilidade (TIR) para um investimento nas Obrigações FC Porto SAD 2025-2028, ao Preço de Emissão, assumindo que as mesmas são detidas por um investidor residente em território português, que serão mantidas até ao vencimento e reembolsadas na maturidade a 100% do valor nominal e que os cupões recebidos são reinvestidos a uma taxa de juro equivalente à TIR obtida.
A Oferta Pública de Subscrição das Obrigações FC Porto SAD 2025-2028 destina-se a investidores indeterminados, ou seja, ao público em geral, incluindo titulares de Obrigações FC Porto SAD 2022-2025, tendo especificamente como  destinatários pessoas singulares ou coletivas residentes ou com estabelecimento em Portugal. A presente Oferta não constitui uma oferta ou promoção de venda, compra ou subscrição de quaisquer títulos, particularmente no que respeita a qualquer pessoa a quem estejam legalmente vedadas essas operações, ou em qualquer jurisdição onde seja considerada ilegal a respetiva venda, compra ou subscrição das Obrigações, designadamente os Estados Unidos da América, Austrália, Canadá, África do Sul e Japão.
Em particular as Obrigações não foram nem serão registadas ao abrigo do US Securities Act de 1933 ou de qualquer outra legislação sobre valores mobiliários aplicável nos Estados Unidos da América e não podem ser, direta ou indiretamente, promovidas ou vendidas nos Estados Unidos da América, ou em qualquer dos seus territórios e possessões ou áreas que se encontrem sujeitas a essa jurisdição, ou a uma “US Person” ou em seu benefício, conforme disposto na Rule  02(k), Regulation S do US Securities Act de 1933.</t>
    </r>
  </si>
  <si>
    <t>Características das Obrigações FC Porto SAD 2025-2028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</si>
</sst>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[$-816]d/mmm;@"/>
    <numFmt numFmtId="166" formatCode="0.000%"/>
    <numFmt numFmtId="167" formatCode="0.000000000"/>
    <numFmt numFmtId="168" formatCode="0.00000000"/>
    <numFmt numFmtId="169" formatCode="#,##0.00000\ &quot;€&quot;;\-#,##0.00000\ &quot;€&quot;"/>
    <numFmt numFmtId="170" formatCode="#,##0.000000\ &quot;€&quot;;\-#,##0.000000\ &quot;€&quot;"/>
    <numFmt numFmtId="171" formatCode="#,##0.0000\ &quot;€&quot;;\-#,##0.0000\ &quot;€&quot;"/>
    <numFmt numFmtId="172" formatCode="#,##0.00\ &quot;€&quot;"/>
  </numFmts>
  <fonts count="27" x14ac:knownFonts="1">
    <font>
      <sz val="11"/>
      <color theme="1"/>
      <name val="Trebuchet MS"/>
      <family val="2"/>
    </font>
    <font>
      <sz val="11"/>
      <color theme="1"/>
      <name val="Trebuchet MS"/>
      <family val="2"/>
    </font>
    <font>
      <u/>
      <sz val="11"/>
      <color theme="10"/>
      <name val="Trebuchet MS"/>
      <family val="2"/>
    </font>
    <font>
      <sz val="11"/>
      <color theme="1"/>
      <name val="Montserrat"/>
    </font>
    <font>
      <b/>
      <sz val="20"/>
      <color theme="0"/>
      <name val="Montserrat"/>
    </font>
    <font>
      <b/>
      <sz val="14"/>
      <color theme="0"/>
      <name val="Montserrat"/>
    </font>
    <font>
      <b/>
      <sz val="11"/>
      <color theme="0"/>
      <name val="Montserrat"/>
    </font>
    <font>
      <sz val="11"/>
      <name val="Montserrat"/>
    </font>
    <font>
      <sz val="11"/>
      <color theme="0"/>
      <name val="Montserrat"/>
    </font>
    <font>
      <b/>
      <sz val="16"/>
      <color theme="1"/>
      <name val="Montserrat"/>
    </font>
    <font>
      <b/>
      <sz val="11"/>
      <color theme="1"/>
      <name val="Montserrat"/>
    </font>
    <font>
      <b/>
      <sz val="12"/>
      <color theme="0"/>
      <name val="Montserrat"/>
    </font>
    <font>
      <b/>
      <sz val="12"/>
      <color theme="1"/>
      <name val="Montserrat"/>
    </font>
    <font>
      <sz val="12"/>
      <color theme="1"/>
      <name val="Montserrat"/>
    </font>
    <font>
      <b/>
      <i/>
      <sz val="12"/>
      <color theme="0"/>
      <name val="Montserrat"/>
    </font>
    <font>
      <sz val="12"/>
      <name val="Montserrat"/>
    </font>
    <font>
      <sz val="10"/>
      <color theme="1"/>
      <name val="Montserrat"/>
    </font>
    <font>
      <b/>
      <i/>
      <sz val="11"/>
      <name val="Montserrat"/>
    </font>
    <font>
      <u/>
      <sz val="11"/>
      <color theme="10"/>
      <name val="Montserrat"/>
    </font>
    <font>
      <b/>
      <sz val="16"/>
      <color theme="0"/>
      <name val="Montserrat"/>
    </font>
    <font>
      <b/>
      <sz val="10"/>
      <color theme="0"/>
      <name val="Montserrat"/>
    </font>
    <font>
      <sz val="10"/>
      <name val="Montserrat"/>
    </font>
    <font>
      <b/>
      <sz val="10"/>
      <color theme="1"/>
      <name val="Montserrat"/>
    </font>
    <font>
      <b/>
      <sz val="10"/>
      <name val="Montserrat"/>
    </font>
    <font>
      <sz val="8"/>
      <color theme="1"/>
      <name val="Montserrat"/>
    </font>
    <font>
      <b/>
      <sz val="14"/>
      <color theme="1"/>
      <name val="Montserrat"/>
    </font>
    <font>
      <sz val="14"/>
      <color theme="1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B0069"/>
        <bgColor indexed="64"/>
      </patternFill>
    </fill>
    <fill>
      <patternFill patternType="solid">
        <fgColor rgb="FFFFCCFF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8">
    <xf numFmtId="0" fontId="0" fillId="0" borderId="0" xfId="0"/>
    <xf numFmtId="0" fontId="3" fillId="0" borderId="0" xfId="0" applyFont="1" applyProtection="1"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10" fontId="5" fillId="4" borderId="0" xfId="0" applyNumberFormat="1" applyFont="1" applyFill="1" applyAlignment="1" applyProtection="1">
      <alignment vertical="center"/>
      <protection hidden="1"/>
    </xf>
    <xf numFmtId="0" fontId="7" fillId="4" borderId="0" xfId="0" applyFont="1" applyFill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5" fillId="4" borderId="0" xfId="0" applyFont="1" applyFill="1" applyAlignment="1" applyProtection="1">
      <alignment horizontal="left" vertical="center"/>
      <protection hidden="1"/>
    </xf>
    <xf numFmtId="0" fontId="3" fillId="0" borderId="0" xfId="0" applyFont="1"/>
    <xf numFmtId="0" fontId="3" fillId="0" borderId="0" xfId="0" applyFont="1" applyAlignment="1" applyProtection="1">
      <alignment horizontal="left" vertical="center"/>
      <protection hidden="1"/>
    </xf>
    <xf numFmtId="164" fontId="9" fillId="0" borderId="0" xfId="1" applyNumberFormat="1" applyFont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10" fontId="3" fillId="0" borderId="0" xfId="0" applyNumberFormat="1" applyFont="1"/>
    <xf numFmtId="7" fontId="9" fillId="0" borderId="0" xfId="1" applyNumberFormat="1" applyFont="1" applyFill="1" applyBorder="1" applyAlignment="1" applyProtection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11" fillId="4" borderId="1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6" fillId="4" borderId="3" xfId="0" applyFont="1" applyFill="1" applyBorder="1" applyAlignment="1">
      <alignment vertical="center"/>
    </xf>
    <xf numFmtId="0" fontId="3" fillId="0" borderId="0" xfId="0" applyFont="1" applyAlignment="1" applyProtection="1">
      <alignment horizontal="left"/>
      <protection locked="0"/>
    </xf>
    <xf numFmtId="44" fontId="3" fillId="0" borderId="0" xfId="1" applyFont="1" applyAlignment="1" applyProtection="1">
      <alignment horizontal="right"/>
    </xf>
    <xf numFmtId="9" fontId="3" fillId="0" borderId="0" xfId="2" applyFont="1" applyAlignment="1" applyProtection="1">
      <alignment horizont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/>
    <xf numFmtId="0" fontId="3" fillId="0" borderId="0" xfId="0" applyFont="1" applyProtection="1">
      <protection locked="0"/>
    </xf>
    <xf numFmtId="0" fontId="11" fillId="4" borderId="4" xfId="0" applyFont="1" applyFill="1" applyBorder="1" applyAlignment="1" applyProtection="1">
      <alignment horizontal="center" vertical="center"/>
      <protection hidden="1"/>
    </xf>
    <xf numFmtId="165" fontId="11" fillId="4" borderId="10" xfId="0" applyNumberFormat="1" applyFont="1" applyFill="1" applyBorder="1" applyAlignment="1" applyProtection="1">
      <alignment horizontal="center" vertical="center"/>
      <protection hidden="1"/>
    </xf>
    <xf numFmtId="0" fontId="13" fillId="0" borderId="7" xfId="0" applyFont="1" applyBorder="1" applyAlignment="1" applyProtection="1">
      <alignment vertical="center"/>
      <protection hidden="1"/>
    </xf>
    <xf numFmtId="0" fontId="13" fillId="0" borderId="8" xfId="0" applyFont="1" applyBorder="1" applyAlignment="1" applyProtection="1">
      <alignment vertical="center"/>
      <protection hidden="1"/>
    </xf>
    <xf numFmtId="8" fontId="13" fillId="2" borderId="4" xfId="1" applyNumberFormat="1" applyFont="1" applyFill="1" applyBorder="1" applyAlignment="1" applyProtection="1">
      <alignment horizontal="center" vertical="center"/>
      <protection hidden="1"/>
    </xf>
    <xf numFmtId="172" fontId="15" fillId="0" borderId="4" xfId="1" applyNumberFormat="1" applyFont="1" applyBorder="1" applyAlignment="1" applyProtection="1">
      <alignment vertical="center"/>
      <protection hidden="1"/>
    </xf>
    <xf numFmtId="14" fontId="13" fillId="0" borderId="5" xfId="0" applyNumberFormat="1" applyFont="1" applyBorder="1" applyAlignment="1" applyProtection="1">
      <alignment horizontal="left" vertical="center"/>
      <protection hidden="1"/>
    </xf>
    <xf numFmtId="0" fontId="13" fillId="0" borderId="6" xfId="0" applyFont="1" applyBorder="1" applyAlignment="1" applyProtection="1">
      <alignment vertical="center"/>
      <protection hidden="1"/>
    </xf>
    <xf numFmtId="166" fontId="13" fillId="2" borderId="4" xfId="2" applyNumberFormat="1" applyFont="1" applyFill="1" applyBorder="1" applyAlignment="1" applyProtection="1">
      <alignment horizontal="center" vertical="center"/>
      <protection hidden="1"/>
    </xf>
    <xf numFmtId="14" fontId="13" fillId="0" borderId="7" xfId="0" applyNumberFormat="1" applyFont="1" applyBorder="1" applyAlignment="1" applyProtection="1">
      <alignment horizontal="left" vertical="center"/>
      <protection hidden="1"/>
    </xf>
    <xf numFmtId="10" fontId="13" fillId="2" borderId="4" xfId="1" applyNumberFormat="1" applyFont="1" applyFill="1" applyBorder="1" applyAlignment="1" applyProtection="1">
      <alignment horizontal="center" vertical="center"/>
      <protection hidden="1"/>
    </xf>
    <xf numFmtId="10" fontId="13" fillId="2" borderId="4" xfId="1" quotePrefix="1" applyNumberFormat="1" applyFont="1" applyFill="1" applyBorder="1" applyAlignment="1" applyProtection="1">
      <alignment horizontal="center" vertical="center"/>
      <protection hidden="1"/>
    </xf>
    <xf numFmtId="171" fontId="3" fillId="0" borderId="0" xfId="0" applyNumberFormat="1" applyFont="1" applyProtection="1">
      <protection hidden="1"/>
    </xf>
    <xf numFmtId="172" fontId="13" fillId="0" borderId="4" xfId="1" applyNumberFormat="1" applyFont="1" applyBorder="1" applyAlignment="1" applyProtection="1">
      <alignment vertical="center"/>
      <protection hidden="1"/>
    </xf>
    <xf numFmtId="172" fontId="13" fillId="0" borderId="4" xfId="1" applyNumberFormat="1" applyFont="1" applyFill="1" applyBorder="1" applyAlignment="1" applyProtection="1">
      <alignment vertical="center"/>
      <protection hidden="1"/>
    </xf>
    <xf numFmtId="7" fontId="3" fillId="0" borderId="0" xfId="0" applyNumberFormat="1" applyFont="1" applyProtection="1">
      <protection hidden="1"/>
    </xf>
    <xf numFmtId="172" fontId="3" fillId="0" borderId="0" xfId="0" applyNumberFormat="1" applyFont="1" applyProtection="1">
      <protection hidden="1"/>
    </xf>
    <xf numFmtId="7" fontId="12" fillId="2" borderId="4" xfId="1" applyNumberFormat="1" applyFont="1" applyFill="1" applyBorder="1" applyAlignment="1" applyProtection="1">
      <alignment vertical="center"/>
      <protection hidden="1"/>
    </xf>
    <xf numFmtId="14" fontId="16" fillId="0" borderId="0" xfId="0" applyNumberFormat="1" applyFont="1" applyAlignment="1" applyProtection="1">
      <alignment horizontal="left"/>
      <protection hidden="1"/>
    </xf>
    <xf numFmtId="0" fontId="7" fillId="0" borderId="0" xfId="0" applyFont="1" applyAlignment="1" applyProtection="1">
      <alignment wrapText="1"/>
      <protection hidden="1"/>
    </xf>
    <xf numFmtId="0" fontId="18" fillId="0" borderId="0" xfId="3" applyFont="1" applyFill="1" applyProtection="1">
      <protection hidden="1"/>
    </xf>
    <xf numFmtId="0" fontId="18" fillId="0" borderId="0" xfId="3" applyFont="1" applyFill="1" applyAlignment="1" applyProtection="1">
      <protection hidden="1"/>
    </xf>
    <xf numFmtId="167" fontId="3" fillId="0" borderId="0" xfId="0" applyNumberFormat="1" applyFont="1" applyFill="1" applyProtection="1">
      <protection hidden="1"/>
    </xf>
    <xf numFmtId="168" fontId="3" fillId="0" borderId="0" xfId="0" applyNumberFormat="1" applyFont="1" applyFill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20" fillId="0" borderId="0" xfId="0" applyFont="1" applyFill="1" applyBorder="1" applyAlignment="1" applyProtection="1">
      <alignment vertical="center"/>
      <protection hidden="1"/>
    </xf>
    <xf numFmtId="165" fontId="20" fillId="4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vertical="center"/>
      <protection hidden="1"/>
    </xf>
    <xf numFmtId="0" fontId="3" fillId="0" borderId="8" xfId="0" applyFont="1" applyBorder="1" applyAlignment="1" applyProtection="1">
      <alignment vertical="center"/>
      <protection hidden="1"/>
    </xf>
    <xf numFmtId="8" fontId="16" fillId="2" borderId="4" xfId="1" applyNumberFormat="1" applyFont="1" applyFill="1" applyBorder="1" applyAlignment="1" applyProtection="1">
      <alignment horizontal="center" vertical="center"/>
      <protection hidden="1"/>
    </xf>
    <xf numFmtId="7" fontId="21" fillId="0" borderId="4" xfId="1" applyNumberFormat="1" applyFont="1" applyBorder="1" applyAlignment="1" applyProtection="1">
      <alignment vertical="center"/>
      <protection hidden="1"/>
    </xf>
    <xf numFmtId="14" fontId="22" fillId="0" borderId="7" xfId="0" applyNumberFormat="1" applyFont="1" applyBorder="1" applyAlignment="1" applyProtection="1">
      <alignment horizontal="left" vertical="center"/>
      <protection hidden="1"/>
    </xf>
    <xf numFmtId="10" fontId="16" fillId="2" borderId="4" xfId="2" quotePrefix="1" applyNumberFormat="1" applyFont="1" applyFill="1" applyBorder="1" applyAlignment="1" applyProtection="1">
      <alignment horizontal="center" vertical="center"/>
      <protection hidden="1"/>
    </xf>
    <xf numFmtId="14" fontId="22" fillId="0" borderId="5" xfId="0" applyNumberFormat="1" applyFont="1" applyBorder="1" applyAlignment="1" applyProtection="1">
      <alignment horizontal="left" vertical="center"/>
      <protection hidden="1"/>
    </xf>
    <xf numFmtId="0" fontId="3" fillId="0" borderId="6" xfId="0" applyFont="1" applyBorder="1" applyAlignment="1" applyProtection="1">
      <alignment vertical="center"/>
      <protection hidden="1"/>
    </xf>
    <xf numFmtId="166" fontId="16" fillId="2" borderId="4" xfId="2" applyNumberFormat="1" applyFont="1" applyFill="1" applyBorder="1" applyAlignment="1" applyProtection="1">
      <alignment horizontal="center" vertical="center"/>
      <protection hidden="1"/>
    </xf>
    <xf numFmtId="10" fontId="16" fillId="2" borderId="4" xfId="1" applyNumberFormat="1" applyFont="1" applyFill="1" applyBorder="1" applyAlignment="1" applyProtection="1">
      <alignment horizontal="center" vertical="center"/>
      <protection hidden="1"/>
    </xf>
    <xf numFmtId="10" fontId="16" fillId="2" borderId="4" xfId="1" quotePrefix="1" applyNumberFormat="1" applyFont="1" applyFill="1" applyBorder="1" applyAlignment="1" applyProtection="1">
      <alignment horizontal="center" vertical="center"/>
      <protection hidden="1"/>
    </xf>
    <xf numFmtId="7" fontId="21" fillId="0" borderId="4" xfId="1" applyNumberFormat="1" applyFont="1" applyFill="1" applyBorder="1" applyAlignment="1" applyProtection="1">
      <alignment vertical="center"/>
      <protection hidden="1"/>
    </xf>
    <xf numFmtId="7" fontId="23" fillId="2" borderId="4" xfId="1" applyNumberFormat="1" applyFont="1" applyFill="1" applyBorder="1" applyAlignment="1" applyProtection="1">
      <alignment vertical="center"/>
      <protection hidden="1"/>
    </xf>
    <xf numFmtId="170" fontId="3" fillId="0" borderId="0" xfId="0" applyNumberFormat="1" applyFont="1" applyProtection="1">
      <protection hidden="1"/>
    </xf>
    <xf numFmtId="10" fontId="3" fillId="0" borderId="0" xfId="0" applyNumberFormat="1" applyFont="1" applyProtection="1">
      <protection hidden="1"/>
    </xf>
    <xf numFmtId="169" fontId="3" fillId="0" borderId="0" xfId="0" applyNumberFormat="1" applyFont="1" applyProtection="1">
      <protection hidden="1"/>
    </xf>
    <xf numFmtId="0" fontId="8" fillId="4" borderId="0" xfId="0" applyFont="1" applyFill="1" applyProtection="1">
      <protection hidden="1"/>
    </xf>
    <xf numFmtId="0" fontId="19" fillId="4" borderId="0" xfId="0" applyFont="1" applyFill="1" applyAlignment="1" applyProtection="1">
      <alignment vertical="center"/>
      <protection hidden="1"/>
    </xf>
    <xf numFmtId="44" fontId="3" fillId="0" borderId="0" xfId="1" applyFont="1" applyProtection="1">
      <protection hidden="1"/>
    </xf>
    <xf numFmtId="0" fontId="20" fillId="0" borderId="0" xfId="0" applyFont="1" applyAlignment="1" applyProtection="1">
      <alignment horizontal="center" vertical="center"/>
      <protection hidden="1"/>
    </xf>
    <xf numFmtId="165" fontId="20" fillId="4" borderId="10" xfId="0" applyNumberFormat="1" applyFont="1" applyFill="1" applyBorder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7" fontId="21" fillId="0" borderId="0" xfId="1" applyNumberFormat="1" applyFont="1" applyFill="1" applyBorder="1" applyAlignment="1" applyProtection="1">
      <alignment vertical="center"/>
      <protection hidden="1"/>
    </xf>
    <xf numFmtId="7" fontId="16" fillId="0" borderId="0" xfId="1" applyNumberFormat="1" applyFont="1" applyFill="1" applyBorder="1" applyAlignment="1" applyProtection="1">
      <alignment vertical="center"/>
      <protection hidden="1"/>
    </xf>
    <xf numFmtId="7" fontId="22" fillId="2" borderId="8" xfId="1" applyNumberFormat="1" applyFont="1" applyFill="1" applyBorder="1" applyAlignment="1" applyProtection="1">
      <alignment vertical="center"/>
      <protection hidden="1"/>
    </xf>
    <xf numFmtId="7" fontId="22" fillId="2" borderId="4" xfId="1" applyNumberFormat="1" applyFont="1" applyFill="1" applyBorder="1" applyAlignment="1" applyProtection="1">
      <alignment vertical="center"/>
      <protection hidden="1"/>
    </xf>
    <xf numFmtId="7" fontId="22" fillId="0" borderId="0" xfId="1" applyNumberFormat="1" applyFont="1" applyFill="1" applyBorder="1" applyAlignment="1" applyProtection="1">
      <alignment vertical="center"/>
      <protection hidden="1"/>
    </xf>
    <xf numFmtId="165" fontId="20" fillId="0" borderId="0" xfId="0" applyNumberFormat="1" applyFont="1" applyFill="1" applyBorder="1" applyAlignment="1" applyProtection="1">
      <alignment horizontal="center" vertical="center"/>
      <protection hidden="1"/>
    </xf>
    <xf numFmtId="0" fontId="25" fillId="0" borderId="0" xfId="0" applyFont="1"/>
    <xf numFmtId="0" fontId="26" fillId="0" borderId="0" xfId="0" applyFont="1"/>
    <xf numFmtId="0" fontId="25" fillId="2" borderId="0" xfId="0" applyFont="1" applyFill="1" applyAlignment="1">
      <alignment horizontal="left" vertical="center"/>
    </xf>
    <xf numFmtId="0" fontId="25" fillId="2" borderId="1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horizontal="left" vertical="center"/>
    </xf>
    <xf numFmtId="0" fontId="25" fillId="2" borderId="3" xfId="0" applyFont="1" applyFill="1" applyBorder="1" applyAlignment="1">
      <alignment horizontal="left" vertical="center"/>
    </xf>
    <xf numFmtId="0" fontId="19" fillId="4" borderId="0" xfId="0" applyFont="1" applyFill="1" applyAlignment="1" applyProtection="1">
      <protection hidden="1"/>
    </xf>
    <xf numFmtId="1" fontId="3" fillId="0" borderId="0" xfId="0" applyNumberFormat="1" applyFont="1" applyProtection="1">
      <protection hidden="1"/>
    </xf>
    <xf numFmtId="7" fontId="21" fillId="0" borderId="4" xfId="1" quotePrefix="1" applyNumberFormat="1" applyFont="1" applyFill="1" applyBorder="1" applyAlignment="1" applyProtection="1">
      <alignment vertical="center"/>
      <protection hidden="1"/>
    </xf>
    <xf numFmtId="0" fontId="20" fillId="4" borderId="7" xfId="0" applyFont="1" applyFill="1" applyBorder="1" applyAlignment="1" applyProtection="1">
      <alignment horizontal="center" vertical="center"/>
      <protection hidden="1"/>
    </xf>
    <xf numFmtId="0" fontId="20" fillId="4" borderId="9" xfId="0" applyFont="1" applyFill="1" applyBorder="1" applyAlignment="1" applyProtection="1">
      <alignment horizontal="center" vertical="center"/>
      <protection hidden="1"/>
    </xf>
    <xf numFmtId="0" fontId="20" fillId="4" borderId="8" xfId="0" applyFont="1" applyFill="1" applyBorder="1" applyAlignment="1" applyProtection="1">
      <alignment horizontal="center" vertical="center"/>
      <protection hidden="1"/>
    </xf>
    <xf numFmtId="0" fontId="20" fillId="4" borderId="4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 vertical="center" wrapText="1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14" fontId="22" fillId="2" borderId="7" xfId="0" applyNumberFormat="1" applyFont="1" applyFill="1" applyBorder="1" applyAlignment="1" applyProtection="1">
      <alignment horizontal="left" vertical="center"/>
      <protection hidden="1"/>
    </xf>
    <xf numFmtId="14" fontId="22" fillId="2" borderId="9" xfId="0" applyNumberFormat="1" applyFont="1" applyFill="1" applyBorder="1" applyAlignment="1" applyProtection="1">
      <alignment horizontal="left" vertical="center"/>
      <protection hidden="1"/>
    </xf>
    <xf numFmtId="14" fontId="22" fillId="2" borderId="8" xfId="0" applyNumberFormat="1" applyFont="1" applyFill="1" applyBorder="1" applyAlignment="1" applyProtection="1">
      <alignment horizontal="left" vertic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2" borderId="1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horizontal="left" vertical="center"/>
    </xf>
    <xf numFmtId="0" fontId="25" fillId="2" borderId="3" xfId="0" applyFont="1" applyFill="1" applyBorder="1" applyAlignment="1">
      <alignment horizontal="left" vertical="center"/>
    </xf>
    <xf numFmtId="7" fontId="9" fillId="0" borderId="1" xfId="1" applyNumberFormat="1" applyFont="1" applyFill="1" applyBorder="1" applyAlignment="1" applyProtection="1">
      <alignment horizontal="center" vertical="center"/>
      <protection hidden="1"/>
    </xf>
    <xf numFmtId="7" fontId="9" fillId="0" borderId="3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wrapText="1"/>
      <protection hidden="1"/>
    </xf>
    <xf numFmtId="0" fontId="3" fillId="0" borderId="0" xfId="0" applyFont="1" applyAlignment="1" applyProtection="1">
      <alignment horizontal="left"/>
      <protection hidden="1"/>
    </xf>
    <xf numFmtId="169" fontId="22" fillId="2" borderId="7" xfId="0" applyNumberFormat="1" applyFont="1" applyFill="1" applyBorder="1" applyAlignment="1" applyProtection="1">
      <alignment horizontal="left" vertical="center"/>
      <protection hidden="1"/>
    </xf>
    <xf numFmtId="169" fontId="22" fillId="2" borderId="9" xfId="0" applyNumberFormat="1" applyFont="1" applyFill="1" applyBorder="1" applyAlignment="1" applyProtection="1">
      <alignment horizontal="left" vertical="center"/>
      <protection hidden="1"/>
    </xf>
    <xf numFmtId="169" fontId="22" fillId="2" borderId="8" xfId="0" applyNumberFormat="1" applyFont="1" applyFill="1" applyBorder="1" applyAlignment="1" applyProtection="1">
      <alignment horizontal="left" vertical="center"/>
      <protection hidden="1"/>
    </xf>
    <xf numFmtId="0" fontId="2" fillId="0" borderId="0" xfId="3" applyFill="1" applyAlignment="1" applyProtection="1">
      <alignment horizontal="left" vertical="center" wrapText="1"/>
      <protection hidden="1"/>
    </xf>
    <xf numFmtId="0" fontId="11" fillId="4" borderId="7" xfId="0" applyFont="1" applyFill="1" applyBorder="1" applyAlignment="1" applyProtection="1">
      <alignment horizontal="center" vertical="center"/>
      <protection hidden="1"/>
    </xf>
    <xf numFmtId="0" fontId="11" fillId="4" borderId="9" xfId="0" applyFont="1" applyFill="1" applyBorder="1" applyAlignment="1" applyProtection="1">
      <alignment horizontal="center" vertical="center"/>
      <protection hidden="1"/>
    </xf>
    <xf numFmtId="14" fontId="12" fillId="2" borderId="7" xfId="0" applyNumberFormat="1" applyFont="1" applyFill="1" applyBorder="1" applyAlignment="1" applyProtection="1">
      <alignment horizontal="left" vertical="center"/>
      <protection hidden="1"/>
    </xf>
    <xf numFmtId="14" fontId="12" fillId="2" borderId="9" xfId="0" applyNumberFormat="1" applyFont="1" applyFill="1" applyBorder="1" applyAlignment="1" applyProtection="1">
      <alignment horizontal="left" vertical="center"/>
      <protection hidden="1"/>
    </xf>
    <xf numFmtId="14" fontId="12" fillId="2" borderId="8" xfId="0" applyNumberFormat="1" applyFont="1" applyFill="1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 wrapText="1"/>
      <protection hidden="1"/>
    </xf>
    <xf numFmtId="0" fontId="20" fillId="0" borderId="0" xfId="0" applyFont="1" applyFill="1" applyBorder="1" applyAlignment="1" applyProtection="1">
      <alignment horizontal="center" vertical="center"/>
      <protection hidden="1"/>
    </xf>
    <xf numFmtId="14" fontId="6" fillId="4" borderId="0" xfId="0" applyNumberFormat="1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6" fontId="9" fillId="5" borderId="11" xfId="1" applyNumberFormat="1" applyFont="1" applyFill="1" applyBorder="1" applyAlignment="1" applyProtection="1">
      <alignment horizontal="center" vertical="center"/>
      <protection locked="0"/>
    </xf>
    <xf numFmtId="6" fontId="9" fillId="5" borderId="12" xfId="1" applyNumberFormat="1" applyFont="1" applyFill="1" applyBorder="1" applyAlignment="1" applyProtection="1">
      <alignment horizontal="center" vertical="center"/>
      <protection locked="0"/>
    </xf>
    <xf numFmtId="10" fontId="9" fillId="0" borderId="1" xfId="2" applyNumberFormat="1" applyFont="1" applyFill="1" applyBorder="1" applyAlignment="1" applyProtection="1">
      <alignment horizontal="center" vertical="center"/>
      <protection hidden="1"/>
    </xf>
    <xf numFmtId="10" fontId="9" fillId="0" borderId="3" xfId="2" applyNumberFormat="1" applyFont="1" applyFill="1" applyBorder="1" applyAlignment="1" applyProtection="1">
      <alignment horizontal="center" vertical="center"/>
      <protection hidden="1"/>
    </xf>
    <xf numFmtId="166" fontId="9" fillId="3" borderId="1" xfId="2" applyNumberFormat="1" applyFont="1" applyFill="1" applyBorder="1" applyAlignment="1" applyProtection="1">
      <alignment horizontal="center" vertical="center"/>
      <protection hidden="1"/>
    </xf>
    <xf numFmtId="166" fontId="9" fillId="3" borderId="3" xfId="2" applyNumberFormat="1" applyFont="1" applyFill="1" applyBorder="1" applyAlignment="1" applyProtection="1">
      <alignment horizontal="center" vertical="center"/>
      <protection hidden="1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1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CB0069"/>
      <color rgb="FFFFCCFF"/>
      <color rgb="FFFF7DC1"/>
      <color rgb="FFFF9F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" dropStyle="combo" dx="16" fmlaLink="F17" fmlaRange="$B$65540:$B$65541" sel="1" val="0"/>
</file>

<file path=xl/ctrlProps/ctrlProp2.xml><?xml version="1.0" encoding="utf-8"?>
<formControlPr xmlns="http://schemas.microsoft.com/office/spreadsheetml/2009/9/main" objectType="Drop" dropLines="2" dropStyle="combo" dx="16" fmlaLink="F21" fmlaRange="$C$65540:$C$65541" sel="1" val="0"/>
</file>

<file path=xl/ctrlProps/ctrlProp3.xml><?xml version="1.0" encoding="utf-8"?>
<formControlPr xmlns="http://schemas.microsoft.com/office/spreadsheetml/2009/9/main" objectType="Drop" dropLines="2" dropStyle="combo" dx="16" fmlaLink="F19" fmlaRange="$B$65540:$B$65541" sel="1" val="0"/>
</file>

<file path=xl/ctrlProps/ctrlProp4.xml><?xml version="1.0" encoding="utf-8"?>
<formControlPr xmlns="http://schemas.microsoft.com/office/spreadsheetml/2009/9/main" objectType="Drop" dropLines="4" dropStyle="combo" dx="16" fmlaLink="F23" fmlaRange="$D$65540:$D$65543" sel="1" val="0"/>
</file>

<file path=xl/ctrlProps/ctrlProp5.xml><?xml version="1.0" encoding="utf-8"?>
<formControlPr xmlns="http://schemas.microsoft.com/office/spreadsheetml/2009/9/main" objectType="Drop" dropLines="3" dropStyle="combo" dx="16" fmlaLink="F21" fmlaRange="$C$65540:$C$65542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64436</xdr:colOff>
      <xdr:row>4</xdr:row>
      <xdr:rowOff>212912</xdr:rowOff>
    </xdr:from>
    <xdr:to>
      <xdr:col>9</xdr:col>
      <xdr:colOff>867056</xdr:colOff>
      <xdr:row>5</xdr:row>
      <xdr:rowOff>380299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03411" y="1336862"/>
          <a:ext cx="2707620" cy="38646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ln>
                <a:noFill/>
              </a:ln>
              <a:solidFill>
                <a:sysClr val="windowText" lastClr="000000"/>
              </a:solidFill>
            </a:rPr>
            <a:t>(Introduza o montante</a:t>
          </a:r>
          <a:r>
            <a:rPr lang="en-GB" sz="1100" baseline="0">
              <a:ln>
                <a:noFill/>
              </a:ln>
              <a:solidFill>
                <a:sysClr val="windowText" lastClr="000000"/>
              </a:solidFill>
            </a:rPr>
            <a:t> do investimento)</a:t>
          </a:r>
          <a:endParaRPr lang="en-GB" sz="1100">
            <a:ln>
              <a:noFill/>
            </a:ln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8</xdr:col>
      <xdr:colOff>850212</xdr:colOff>
      <xdr:row>15</xdr:row>
      <xdr:rowOff>147353</xdr:rowOff>
    </xdr:from>
    <xdr:to>
      <xdr:col>11</xdr:col>
      <xdr:colOff>902739</xdr:colOff>
      <xdr:row>17</xdr:row>
      <xdr:rowOff>12883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841687" y="4014503"/>
          <a:ext cx="2910027" cy="37035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ln>
                <a:noFill/>
              </a:ln>
              <a:solidFill>
                <a:sysClr val="windowText" lastClr="000000"/>
              </a:solidFill>
            </a:rPr>
            <a:t>(Escolha a opção correta</a:t>
          </a:r>
          <a:r>
            <a:rPr lang="en-GB" sz="1100" baseline="0">
              <a:ln>
                <a:noFill/>
              </a:ln>
              <a:solidFill>
                <a:sysClr val="windowText" lastClr="000000"/>
              </a:solidFill>
            </a:rPr>
            <a:t>)</a:t>
          </a:r>
          <a:endParaRPr lang="en-GB" sz="1100">
            <a:ln>
              <a:noFill/>
            </a:ln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8</xdr:col>
      <xdr:colOff>850212</xdr:colOff>
      <xdr:row>17</xdr:row>
      <xdr:rowOff>3394</xdr:rowOff>
    </xdr:from>
    <xdr:to>
      <xdr:col>11</xdr:col>
      <xdr:colOff>902739</xdr:colOff>
      <xdr:row>19</xdr:row>
      <xdr:rowOff>42614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841687" y="4375369"/>
          <a:ext cx="2910027" cy="37259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ln>
                <a:noFill/>
              </a:ln>
              <a:solidFill>
                <a:sysClr val="windowText" lastClr="000000"/>
              </a:solidFill>
            </a:rPr>
            <a:t>(Escolha a opção</a:t>
          </a:r>
          <a:r>
            <a:rPr lang="en-GB" sz="1100" baseline="0">
              <a:ln>
                <a:noFill/>
              </a:ln>
              <a:solidFill>
                <a:sysClr val="windowText" lastClr="000000"/>
              </a:solidFill>
            </a:rPr>
            <a:t> correta)</a:t>
          </a:r>
          <a:endParaRPr lang="en-GB" sz="1100">
            <a:ln>
              <a:noFill/>
            </a:ln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8</xdr:col>
      <xdr:colOff>850212</xdr:colOff>
      <xdr:row>21</xdr:row>
      <xdr:rowOff>20585</xdr:rowOff>
    </xdr:from>
    <xdr:to>
      <xdr:col>11</xdr:col>
      <xdr:colOff>902739</xdr:colOff>
      <xdr:row>23</xdr:row>
      <xdr:rowOff>59805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841687" y="5059310"/>
          <a:ext cx="2910027" cy="37259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ln>
                <a:noFill/>
              </a:ln>
              <a:solidFill>
                <a:sysClr val="windowText" lastClr="000000"/>
              </a:solidFill>
            </a:rPr>
            <a:t>(Escolha a opção</a:t>
          </a:r>
          <a:r>
            <a:rPr lang="en-GB" sz="1100" baseline="0">
              <a:ln>
                <a:noFill/>
              </a:ln>
              <a:solidFill>
                <a:sysClr val="windowText" lastClr="000000"/>
              </a:solidFill>
            </a:rPr>
            <a:t> correta)</a:t>
          </a:r>
          <a:endParaRPr lang="en-GB" sz="1100">
            <a:ln>
              <a:noFill/>
            </a:ln>
            <a:solidFill>
              <a:sysClr val="windowText" lastClr="000000"/>
            </a:solidFill>
          </a:endParaRPr>
        </a:p>
      </xdr:txBody>
    </xdr:sp>
    <xdr:clientData fPrintsWithSheet="0"/>
  </xdr:twoCellAnchor>
  <xdr:twoCellAnchor>
    <xdr:from>
      <xdr:col>8</xdr:col>
      <xdr:colOff>850212</xdr:colOff>
      <xdr:row>19</xdr:row>
      <xdr:rowOff>33125</xdr:rowOff>
    </xdr:from>
    <xdr:to>
      <xdr:col>11</xdr:col>
      <xdr:colOff>902739</xdr:colOff>
      <xdr:row>21</xdr:row>
      <xdr:rowOff>30075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8851212" y="4759906"/>
          <a:ext cx="2910027" cy="3303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lang="en-GB" sz="1100">
              <a:ln>
                <a:noFill/>
              </a:ln>
              <a:solidFill>
                <a:sysClr val="windowText" lastClr="000000"/>
              </a:solidFill>
            </a:rPr>
            <a:t>(Escolha a opção correta</a:t>
          </a:r>
          <a:r>
            <a:rPr lang="en-GB" sz="1100" baseline="0">
              <a:ln>
                <a:noFill/>
              </a:ln>
              <a:solidFill>
                <a:sysClr val="windowText" lastClr="000000"/>
              </a:solidFill>
            </a:rPr>
            <a:t>)</a:t>
          </a:r>
          <a:endParaRPr lang="en-GB" sz="1100">
            <a:ln>
              <a:noFill/>
            </a:ln>
            <a:solidFill>
              <a:sysClr val="windowText" lastClr="000000"/>
            </a:solidFill>
          </a:endParaRPr>
        </a:p>
      </xdr:txBody>
    </xdr:sp>
    <xdr:clientData fPrintsWithSheet="0"/>
  </xdr:twoCellAnchor>
  <xdr:twoCellAnchor editAs="oneCell">
    <xdr:from>
      <xdr:col>13</xdr:col>
      <xdr:colOff>501651</xdr:colOff>
      <xdr:row>2</xdr:row>
      <xdr:rowOff>34925</xdr:rowOff>
    </xdr:from>
    <xdr:to>
      <xdr:col>16</xdr:col>
      <xdr:colOff>457200</xdr:colOff>
      <xdr:row>3</xdr:row>
      <xdr:rowOff>277346</xdr:rowOff>
    </xdr:to>
    <xdr:pic>
      <xdr:nvPicPr>
        <xdr:cNvPr id="7" name="Picture 7" descr="http://pt.millenniumnet.net/SiteCollectionDocuments/Nova_Marca/Logotipos/Millennium%20bcp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22301" y="454025"/>
          <a:ext cx="2813049" cy="638175"/>
        </a:xfrm>
        <a:prstGeom prst="rect">
          <a:avLst/>
        </a:prstGeom>
        <a:noFill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16</xdr:row>
          <xdr:rowOff>0</xdr:rowOff>
        </xdr:from>
        <xdr:to>
          <xdr:col>8</xdr:col>
          <xdr:colOff>609600</xdr:colOff>
          <xdr:row>16</xdr:row>
          <xdr:rowOff>254000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20</xdr:row>
          <xdr:rowOff>12700</xdr:rowOff>
        </xdr:from>
        <xdr:to>
          <xdr:col>6</xdr:col>
          <xdr:colOff>812800</xdr:colOff>
          <xdr:row>21</xdr:row>
          <xdr:rowOff>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18</xdr:row>
          <xdr:rowOff>0</xdr:rowOff>
        </xdr:from>
        <xdr:to>
          <xdr:col>8</xdr:col>
          <xdr:colOff>609600</xdr:colOff>
          <xdr:row>18</xdr:row>
          <xdr:rowOff>254000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0</xdr:rowOff>
        </xdr:from>
        <xdr:to>
          <xdr:col>8</xdr:col>
          <xdr:colOff>609600</xdr:colOff>
          <xdr:row>22</xdr:row>
          <xdr:rowOff>254000</xdr:rowOff>
        </xdr:to>
        <xdr:sp macro="" textlink="">
          <xdr:nvSpPr>
            <xdr:cNvPr id="4100" name="Drop Down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20</xdr:row>
          <xdr:rowOff>0</xdr:rowOff>
        </xdr:from>
        <xdr:to>
          <xdr:col>8</xdr:col>
          <xdr:colOff>609600</xdr:colOff>
          <xdr:row>20</xdr:row>
          <xdr:rowOff>254000</xdr:rowOff>
        </xdr:to>
        <xdr:sp macro="" textlink="">
          <xdr:nvSpPr>
            <xdr:cNvPr id="4101" name="Drop Down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23</xdr:col>
      <xdr:colOff>342898</xdr:colOff>
      <xdr:row>41</xdr:row>
      <xdr:rowOff>115047</xdr:rowOff>
    </xdr:from>
    <xdr:to>
      <xdr:col>25</xdr:col>
      <xdr:colOff>809436</xdr:colOff>
      <xdr:row>63</xdr:row>
      <xdr:rowOff>19259</xdr:rowOff>
    </xdr:to>
    <xdr:pic>
      <xdr:nvPicPr>
        <xdr:cNvPr id="8" name="Picture 7" descr="http://pt.millenniumnet.net/SiteCollectionDocuments/Nova_Marca/Logotipos/Millennium%20bcp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008663" y="13704047"/>
          <a:ext cx="2265829" cy="49438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2" Type="http://schemas.openxmlformats.org/officeDocument/2006/relationships/hyperlink" Target="https://ind.millenniumbcp.pt/pt/Particulares/Investimentos/Documents/OPS/Folheto_Obrigacoes_FC_Porto_SAD_2025-2028.pdf" TargetMode="External"/><Relationship Id="rId1" Type="http://schemas.openxmlformats.org/officeDocument/2006/relationships/hyperlink" Target="https://ind.millenniumbcp.pt/pt/Particulares/Investimentos/Documents/OPS/Folheto_Obrigacoes_SIC_2024-2028.pdf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84B44-736A-40AB-8AA9-2ECC008DD043}">
  <sheetPr>
    <pageSetUpPr fitToPage="1"/>
  </sheetPr>
  <dimension ref="A1:AC65543"/>
  <sheetViews>
    <sheetView showGridLines="0" tabSelected="1" zoomScale="85" zoomScaleNormal="85" workbookViewId="0">
      <selection activeCell="F6" sqref="F6:G6"/>
    </sheetView>
  </sheetViews>
  <sheetFormatPr defaultColWidth="9" defaultRowHeight="16.5" x14ac:dyDescent="0.45"/>
  <cols>
    <col min="1" max="1" width="4.5" style="9" customWidth="1"/>
    <col min="2" max="2" width="14.5" style="9" customWidth="1"/>
    <col min="3" max="3" width="14.08203125" style="9" customWidth="1"/>
    <col min="4" max="4" width="14" style="9" customWidth="1"/>
    <col min="5" max="5" width="20.25" style="9" customWidth="1"/>
    <col min="6" max="11" width="12.5" style="9" customWidth="1"/>
    <col min="12" max="12" width="16.75" style="9" bestFit="1" customWidth="1"/>
    <col min="13" max="13" width="15.5" style="9" customWidth="1"/>
    <col min="14" max="18" width="12.5" style="9" customWidth="1"/>
    <col min="19" max="20" width="11.58203125" style="9" customWidth="1"/>
    <col min="21" max="22" width="12.5" style="9" customWidth="1"/>
    <col min="23" max="23" width="11.5" style="9" customWidth="1"/>
    <col min="24" max="24" width="12" style="9" bestFit="1" customWidth="1"/>
    <col min="25" max="26" width="11.58203125" style="9" customWidth="1"/>
    <col min="27" max="27" width="12.5" style="9" customWidth="1"/>
    <col min="28" max="16384" width="9" style="9"/>
  </cols>
  <sheetData>
    <row r="1" spans="1:26" s="1" customFormat="1" x14ac:dyDescent="0.45"/>
    <row r="2" spans="1:26" s="1" customFormat="1" x14ac:dyDescent="0.45"/>
    <row r="3" spans="1:26" s="6" customFormat="1" ht="30" x14ac:dyDescent="0.45">
      <c r="A3" s="2"/>
      <c r="B3" s="119" t="s">
        <v>43</v>
      </c>
      <c r="C3" s="120"/>
      <c r="D3" s="120"/>
      <c r="E3" s="120"/>
      <c r="F3" s="120"/>
      <c r="G3" s="120"/>
      <c r="H3" s="3" t="s">
        <v>3</v>
      </c>
      <c r="I3" s="4">
        <v>5.5E-2</v>
      </c>
      <c r="J3" s="3"/>
      <c r="K3" s="2"/>
      <c r="L3" s="121" t="s">
        <v>20</v>
      </c>
      <c r="M3" s="118">
        <f ca="1">+TODAY()</f>
        <v>45730</v>
      </c>
      <c r="N3" s="118"/>
      <c r="O3" s="118"/>
      <c r="P3" s="5"/>
      <c r="Q3" s="5"/>
      <c r="S3" s="7"/>
      <c r="T3" s="7"/>
      <c r="Y3" s="7"/>
      <c r="Z3" s="7"/>
    </row>
    <row r="4" spans="1:26" s="6" customFormat="1" ht="30" x14ac:dyDescent="0.45">
      <c r="A4" s="2"/>
      <c r="B4" s="120"/>
      <c r="C4" s="120"/>
      <c r="D4" s="120"/>
      <c r="E4" s="120"/>
      <c r="F4" s="120"/>
      <c r="G4" s="120"/>
      <c r="H4" s="3" t="s">
        <v>2</v>
      </c>
      <c r="I4" s="8" t="s">
        <v>44</v>
      </c>
      <c r="J4" s="3"/>
      <c r="K4" s="3"/>
      <c r="L4" s="121"/>
      <c r="M4" s="118"/>
      <c r="N4" s="118"/>
      <c r="O4" s="118"/>
      <c r="P4" s="5"/>
      <c r="Q4" s="5"/>
      <c r="S4" s="7"/>
      <c r="T4" s="7"/>
      <c r="Y4" s="7"/>
      <c r="Z4" s="7"/>
    </row>
    <row r="5" spans="1:26" ht="17" thickBot="1" x14ac:dyDescent="0.5"/>
    <row r="6" spans="1:26" ht="30" customHeight="1" thickTop="1" thickBot="1" x14ac:dyDescent="0.5">
      <c r="B6" s="100" t="s">
        <v>1</v>
      </c>
      <c r="C6" s="101"/>
      <c r="D6" s="101"/>
      <c r="E6" s="101"/>
      <c r="F6" s="122">
        <v>2500</v>
      </c>
      <c r="G6" s="123"/>
      <c r="H6" s="10"/>
    </row>
    <row r="7" spans="1:26" ht="3.75" customHeight="1" thickBot="1" x14ac:dyDescent="0.65">
      <c r="B7" s="81"/>
      <c r="C7" s="82"/>
      <c r="D7" s="82"/>
      <c r="E7" s="82"/>
      <c r="F7" s="11"/>
    </row>
    <row r="8" spans="1:26" ht="30.75" customHeight="1" thickBot="1" x14ac:dyDescent="0.5">
      <c r="B8" s="100" t="s">
        <v>3</v>
      </c>
      <c r="C8" s="101"/>
      <c r="D8" s="101"/>
      <c r="E8" s="102"/>
      <c r="F8" s="124">
        <f>+I3</f>
        <v>5.5E-2</v>
      </c>
      <c r="G8" s="125"/>
    </row>
    <row r="9" spans="1:26" ht="3.75" customHeight="1" thickBot="1" x14ac:dyDescent="0.65">
      <c r="B9" s="82"/>
      <c r="C9" s="82"/>
      <c r="D9" s="82"/>
      <c r="E9" s="82"/>
      <c r="F9" s="12"/>
    </row>
    <row r="10" spans="1:26" ht="30.75" customHeight="1" thickBot="1" x14ac:dyDescent="0.5">
      <c r="B10" s="100" t="s">
        <v>18</v>
      </c>
      <c r="C10" s="101"/>
      <c r="D10" s="101"/>
      <c r="E10" s="102"/>
      <c r="F10" s="126">
        <f>+XIRR(E60:AA60,E48:AA48)</f>
        <v>3.6610814929008501E-2</v>
      </c>
      <c r="G10" s="127"/>
    </row>
    <row r="11" spans="1:26" ht="3.75" customHeight="1" thickBot="1" x14ac:dyDescent="0.65">
      <c r="B11" s="82"/>
      <c r="C11" s="82"/>
      <c r="D11" s="82"/>
      <c r="E11" s="82"/>
      <c r="F11" s="12"/>
    </row>
    <row r="12" spans="1:26" ht="30.75" customHeight="1" thickBot="1" x14ac:dyDescent="0.5">
      <c r="B12" s="100" t="s">
        <v>19</v>
      </c>
      <c r="C12" s="101"/>
      <c r="D12" s="101"/>
      <c r="E12" s="102"/>
      <c r="F12" s="103">
        <f>+SUM(E60:AA60)</f>
        <v>333.20999999999958</v>
      </c>
      <c r="G12" s="104"/>
      <c r="L12" s="13"/>
    </row>
    <row r="13" spans="1:26" ht="3.75" customHeight="1" thickBot="1" x14ac:dyDescent="0.5">
      <c r="B13" s="83"/>
      <c r="C13" s="83"/>
      <c r="D13" s="83"/>
      <c r="E13" s="83"/>
      <c r="F13" s="14"/>
      <c r="G13" s="14"/>
    </row>
    <row r="14" spans="1:26" ht="30.75" customHeight="1" thickBot="1" x14ac:dyDescent="0.5">
      <c r="B14" s="84" t="s">
        <v>37</v>
      </c>
      <c r="C14" s="85"/>
      <c r="D14" s="85"/>
      <c r="E14" s="86"/>
      <c r="F14" s="103">
        <f>0.02*F6</f>
        <v>50</v>
      </c>
      <c r="G14" s="104"/>
    </row>
    <row r="15" spans="1:26" ht="30.75" customHeight="1" x14ac:dyDescent="0.45">
      <c r="B15" s="15"/>
      <c r="C15" s="15"/>
      <c r="D15" s="15"/>
      <c r="E15" s="15"/>
      <c r="F15" s="14"/>
      <c r="G15" s="14"/>
    </row>
    <row r="16" spans="1:26" ht="17" thickBot="1" x14ac:dyDescent="0.5"/>
    <row r="17" spans="2:11" ht="22.5" customHeight="1" thickBot="1" x14ac:dyDescent="0.5">
      <c r="B17" s="16" t="s">
        <v>33</v>
      </c>
      <c r="C17" s="17"/>
      <c r="D17" s="17"/>
      <c r="E17" s="18"/>
      <c r="F17" s="19">
        <v>1</v>
      </c>
      <c r="J17" s="20"/>
      <c r="K17" s="21"/>
    </row>
    <row r="18" spans="2:11" ht="3.75" customHeight="1" thickBot="1" x14ac:dyDescent="0.5">
      <c r="B18" s="22"/>
      <c r="C18" s="22"/>
      <c r="D18" s="22"/>
      <c r="E18" s="23"/>
      <c r="F18" s="19"/>
    </row>
    <row r="19" spans="2:11" ht="22.5" customHeight="1" thickBot="1" x14ac:dyDescent="0.5">
      <c r="B19" s="16" t="s">
        <v>34</v>
      </c>
      <c r="C19" s="17"/>
      <c r="D19" s="17"/>
      <c r="E19" s="18"/>
      <c r="F19" s="19">
        <v>1</v>
      </c>
    </row>
    <row r="20" spans="2:11" ht="3.75" customHeight="1" thickBot="1" x14ac:dyDescent="0.55000000000000004">
      <c r="B20" s="24"/>
      <c r="C20" s="24"/>
      <c r="D20" s="24"/>
      <c r="F20" s="25"/>
    </row>
    <row r="21" spans="2:11" ht="22.5" customHeight="1" thickBot="1" x14ac:dyDescent="0.5">
      <c r="B21" s="16" t="s">
        <v>4</v>
      </c>
      <c r="C21" s="17"/>
      <c r="D21" s="17"/>
      <c r="E21" s="18"/>
      <c r="F21" s="19">
        <v>1</v>
      </c>
    </row>
    <row r="22" spans="2:11" ht="3.75" customHeight="1" thickBot="1" x14ac:dyDescent="0.55000000000000004">
      <c r="B22" s="24"/>
      <c r="C22" s="24"/>
      <c r="D22" s="24"/>
      <c r="F22" s="25"/>
    </row>
    <row r="23" spans="2:11" ht="22.5" customHeight="1" thickBot="1" x14ac:dyDescent="0.5">
      <c r="B23" s="16" t="s">
        <v>22</v>
      </c>
      <c r="C23" s="17"/>
      <c r="D23" s="17"/>
      <c r="E23" s="18"/>
      <c r="F23" s="19">
        <v>1</v>
      </c>
    </row>
    <row r="24" spans="2:11" ht="22.5" customHeight="1" x14ac:dyDescent="0.45"/>
    <row r="25" spans="2:11" s="1" customFormat="1" ht="30.75" customHeight="1" x14ac:dyDescent="0.45">
      <c r="B25" s="111" t="s">
        <v>30</v>
      </c>
      <c r="C25" s="112"/>
      <c r="D25" s="26" t="s">
        <v>7</v>
      </c>
      <c r="E25" s="27" t="s">
        <v>45</v>
      </c>
    </row>
    <row r="26" spans="2:11" s="1" customFormat="1" ht="30.75" customHeight="1" x14ac:dyDescent="0.45">
      <c r="B26" s="28" t="s">
        <v>29</v>
      </c>
      <c r="C26" s="29"/>
      <c r="D26" s="30">
        <f>+D49</f>
        <v>0</v>
      </c>
      <c r="E26" s="31">
        <f>+SUM(E49:Z49)</f>
        <v>0</v>
      </c>
    </row>
    <row r="27" spans="2:11" s="1" customFormat="1" ht="30.75" customHeight="1" x14ac:dyDescent="0.45">
      <c r="B27" s="32" t="s">
        <v>8</v>
      </c>
      <c r="C27" s="33"/>
      <c r="D27" s="34" t="str">
        <f>+D51</f>
        <v>8€</v>
      </c>
      <c r="E27" s="31">
        <f>+SUM(E51:Z51)</f>
        <v>-8</v>
      </c>
    </row>
    <row r="28" spans="2:11" s="1" customFormat="1" ht="30.75" customHeight="1" x14ac:dyDescent="0.45">
      <c r="B28" s="35" t="s">
        <v>17</v>
      </c>
      <c r="C28" s="29"/>
      <c r="D28" s="36">
        <f>+D52</f>
        <v>0.04</v>
      </c>
      <c r="E28" s="31">
        <f>+SUM(E52:Z52)</f>
        <v>-0.32</v>
      </c>
    </row>
    <row r="29" spans="2:11" s="1" customFormat="1" ht="30.75" customHeight="1" x14ac:dyDescent="0.45">
      <c r="B29" s="35" t="s">
        <v>15</v>
      </c>
      <c r="C29" s="29"/>
      <c r="D29" s="37" t="str">
        <f>+D53</f>
        <v>-</v>
      </c>
      <c r="E29" s="31">
        <f>ROUND(SUM(E53:Z53),2)</f>
        <v>504.17</v>
      </c>
      <c r="F29" s="38"/>
      <c r="G29" s="38"/>
    </row>
    <row r="30" spans="2:11" s="1" customFormat="1" ht="30.75" customHeight="1" x14ac:dyDescent="0.45">
      <c r="B30" s="35" t="str">
        <f>+IF(OR($F$23=1,$F$23=3),"IRS","IRC")</f>
        <v>IRS</v>
      </c>
      <c r="C30" s="29"/>
      <c r="D30" s="36">
        <f>+D54</f>
        <v>0.28000000000000003</v>
      </c>
      <c r="E30" s="39">
        <f>+SUM(E54:Z54)</f>
        <v>-141.17000000000002</v>
      </c>
    </row>
    <row r="31" spans="2:11" s="1" customFormat="1" ht="30.75" customHeight="1" x14ac:dyDescent="0.45">
      <c r="B31" s="35" t="s">
        <v>12</v>
      </c>
      <c r="C31" s="29"/>
      <c r="D31" s="36">
        <f t="shared" ref="D31:D35" si="0">+D55</f>
        <v>2.4E-2</v>
      </c>
      <c r="E31" s="39">
        <f>+SUM(E55:Z55)</f>
        <v>-8.7199999999999989</v>
      </c>
    </row>
    <row r="32" spans="2:11" s="1" customFormat="1" ht="30.75" customHeight="1" x14ac:dyDescent="0.45">
      <c r="B32" s="35" t="s">
        <v>11</v>
      </c>
      <c r="C32" s="29"/>
      <c r="D32" s="36">
        <f t="shared" si="0"/>
        <v>3.5000000000000001E-3</v>
      </c>
      <c r="E32" s="40">
        <f>+SUM(E56:Z56)</f>
        <v>-8.75</v>
      </c>
    </row>
    <row r="33" spans="1:29" s="1" customFormat="1" ht="30.75" customHeight="1" x14ac:dyDescent="0.45">
      <c r="B33" s="35" t="s">
        <v>5</v>
      </c>
      <c r="C33" s="29"/>
      <c r="D33" s="30">
        <f t="shared" si="0"/>
        <v>0</v>
      </c>
      <c r="E33" s="39">
        <f>+SUM(E57:Z57)</f>
        <v>0</v>
      </c>
      <c r="I33" s="41"/>
    </row>
    <row r="34" spans="1:29" s="1" customFormat="1" ht="30.75" customHeight="1" x14ac:dyDescent="0.45">
      <c r="B34" s="32" t="s">
        <v>14</v>
      </c>
      <c r="C34" s="33"/>
      <c r="D34" s="30">
        <f t="shared" si="0"/>
        <v>0</v>
      </c>
      <c r="E34" s="39">
        <f>+SUM(E58:Z58)</f>
        <v>0</v>
      </c>
      <c r="I34" s="41"/>
    </row>
    <row r="35" spans="1:29" s="1" customFormat="1" ht="30.75" customHeight="1" x14ac:dyDescent="0.45">
      <c r="B35" s="35" t="s">
        <v>6</v>
      </c>
      <c r="C35" s="29"/>
      <c r="D35" s="36">
        <f t="shared" si="0"/>
        <v>0.23</v>
      </c>
      <c r="E35" s="40">
        <f>+ROUNDUP(SUM(E59:Z59),2)</f>
        <v>-4</v>
      </c>
      <c r="G35" s="42"/>
      <c r="H35" s="41"/>
    </row>
    <row r="36" spans="1:29" s="1" customFormat="1" ht="30.75" customHeight="1" x14ac:dyDescent="0.45">
      <c r="B36" s="113" t="s">
        <v>27</v>
      </c>
      <c r="C36" s="114"/>
      <c r="D36" s="115"/>
      <c r="E36" s="43">
        <f>+ROUNDDOWN(SUM(E26:E35),2)</f>
        <v>333.21</v>
      </c>
    </row>
    <row r="37" spans="1:29" s="1" customFormat="1" ht="16.5" customHeight="1" x14ac:dyDescent="0.45">
      <c r="B37" s="44" t="s">
        <v>10</v>
      </c>
    </row>
    <row r="38" spans="1:29" s="1" customFormat="1" x14ac:dyDescent="0.45">
      <c r="B38" s="44" t="s">
        <v>9</v>
      </c>
    </row>
    <row r="39" spans="1:29" s="1" customFormat="1" ht="6" customHeight="1" x14ac:dyDescent="0.45"/>
    <row r="40" spans="1:29" s="1" customFormat="1" ht="186" customHeight="1" x14ac:dyDescent="0.45">
      <c r="B40" s="116" t="s">
        <v>47</v>
      </c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</row>
    <row r="41" spans="1:29" s="1" customFormat="1" ht="31.5" customHeight="1" x14ac:dyDescent="0.45">
      <c r="B41" s="94" t="s">
        <v>48</v>
      </c>
      <c r="C41" s="94"/>
      <c r="D41" s="94"/>
      <c r="E41" s="94"/>
      <c r="F41" s="110" t="s">
        <v>41</v>
      </c>
      <c r="G41" s="110"/>
      <c r="H41" s="45"/>
      <c r="J41" s="46"/>
      <c r="K41" s="46"/>
      <c r="L41" s="47"/>
    </row>
    <row r="42" spans="1:29" s="1" customFormat="1" ht="40" customHeight="1" x14ac:dyDescent="0.45">
      <c r="B42" s="105" t="s">
        <v>42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</row>
    <row r="43" spans="1:29" s="1" customFormat="1" ht="6.65" customHeight="1" x14ac:dyDescent="0.45"/>
    <row r="44" spans="1:29" s="1" customFormat="1" ht="13.5" hidden="1" customHeight="1" x14ac:dyDescent="0.45"/>
    <row r="45" spans="1:29" s="1" customFormat="1" ht="22.5" hidden="1" customHeight="1" x14ac:dyDescent="0.65">
      <c r="A45" s="87" t="s">
        <v>38</v>
      </c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</row>
    <row r="46" spans="1:29" s="1" customFormat="1" ht="22.5" hidden="1" customHeight="1" x14ac:dyDescent="0.45">
      <c r="B46" s="1" t="s">
        <v>39</v>
      </c>
      <c r="C46" s="48">
        <f>TRUNC($F$8/360*100,9)</f>
        <v>1.5277776999999999E-2</v>
      </c>
      <c r="D46" s="49">
        <f>TRUNC($C$46*180,9)</f>
        <v>2.74999986</v>
      </c>
      <c r="Z46" s="1">
        <f>TRUNC($C$46*240,9)</f>
        <v>3.66666648</v>
      </c>
      <c r="AA46" s="88"/>
    </row>
    <row r="47" spans="1:29" s="1" customFormat="1" ht="21.75" hidden="1" customHeight="1" x14ac:dyDescent="0.45">
      <c r="B47" s="50"/>
      <c r="C47" s="50">
        <f>+C46*(1-0.285)</f>
        <v>1.0923610555000001E-2</v>
      </c>
      <c r="D47" s="50"/>
      <c r="E47" s="93">
        <v>2025</v>
      </c>
      <c r="F47" s="93"/>
      <c r="G47" s="93"/>
      <c r="H47" s="93"/>
      <c r="I47" s="93"/>
      <c r="J47" s="93">
        <v>2026</v>
      </c>
      <c r="K47" s="93"/>
      <c r="L47" s="93"/>
      <c r="M47" s="93"/>
      <c r="N47" s="93"/>
      <c r="O47" s="93"/>
      <c r="P47" s="93">
        <v>2027</v>
      </c>
      <c r="Q47" s="93"/>
      <c r="R47" s="93"/>
      <c r="S47" s="93"/>
      <c r="T47" s="93"/>
      <c r="U47" s="93"/>
      <c r="V47" s="90">
        <v>2028</v>
      </c>
      <c r="W47" s="91"/>
      <c r="X47" s="91"/>
      <c r="Y47" s="91"/>
      <c r="Z47" s="92"/>
      <c r="AA47" s="51"/>
      <c r="AB47" s="51"/>
      <c r="AC47" s="51"/>
    </row>
    <row r="48" spans="1:29" s="1" customFormat="1" ht="21.75" hidden="1" customHeight="1" x14ac:dyDescent="0.45">
      <c r="B48" s="90" t="s">
        <v>7</v>
      </c>
      <c r="C48" s="91"/>
      <c r="D48" s="92"/>
      <c r="E48" s="52">
        <v>45749</v>
      </c>
      <c r="F48" s="52">
        <v>45838</v>
      </c>
      <c r="G48" s="52">
        <v>45930</v>
      </c>
      <c r="H48" s="52">
        <v>45932</v>
      </c>
      <c r="I48" s="52">
        <v>46022</v>
      </c>
      <c r="J48" s="52">
        <v>46112</v>
      </c>
      <c r="K48" s="52">
        <v>46114</v>
      </c>
      <c r="L48" s="52">
        <v>46203</v>
      </c>
      <c r="M48" s="52">
        <v>46295</v>
      </c>
      <c r="N48" s="52">
        <v>46297</v>
      </c>
      <c r="O48" s="52">
        <v>46387</v>
      </c>
      <c r="P48" s="52">
        <v>46477</v>
      </c>
      <c r="Q48" s="52">
        <v>46479</v>
      </c>
      <c r="R48" s="52">
        <v>46568</v>
      </c>
      <c r="S48" s="52">
        <v>46660</v>
      </c>
      <c r="T48" s="52">
        <v>46662</v>
      </c>
      <c r="U48" s="52">
        <v>46752</v>
      </c>
      <c r="V48" s="52">
        <v>46843</v>
      </c>
      <c r="W48" s="52">
        <v>46845</v>
      </c>
      <c r="X48" s="52">
        <v>46934</v>
      </c>
      <c r="Y48" s="52">
        <v>47026</v>
      </c>
      <c r="Z48" s="52">
        <v>47089</v>
      </c>
    </row>
    <row r="49" spans="1:27" s="1" customFormat="1" ht="21.65" hidden="1" customHeight="1" x14ac:dyDescent="0.45">
      <c r="B49" s="53" t="s">
        <v>46</v>
      </c>
      <c r="C49" s="54"/>
      <c r="D49" s="55">
        <f>+IF($F$17=1,0,IF(OR($F$21=1,$F$21=3),6,9))</f>
        <v>0</v>
      </c>
      <c r="E49" s="56">
        <f>+IF(OR(DATE(YEAR(E$48),3,31)=E$48,DATE(YEAR(E$48),6,30)=E$48,DATE(YEAR(E$48),9,30)=E$48,DATE(YEAR(E$48),12,31)=E$48),-$D$49,0)</f>
        <v>0</v>
      </c>
      <c r="F49" s="56">
        <f>+IF(OR(DATE(YEAR(F$48),3,31)=F$48,DATE(YEAR(F$48),6,30)=F$48,DATE(YEAR(F$48),9,30)=F$48,DATE(YEAR(F$48),12,31)=F$48),-$D$49,0)</f>
        <v>0</v>
      </c>
      <c r="G49" s="56">
        <f t="shared" ref="G49:Y49" si="1">+IF(OR(DATE(YEAR(G$48),3,31)=G$48,DATE(YEAR(G$48),6,30)=G$48,DATE(YEAR(G$48),9,30)=G$48,DATE(YEAR(G$48),12,31)=G$48),-$D$49,0)</f>
        <v>0</v>
      </c>
      <c r="H49" s="56">
        <f t="shared" si="1"/>
        <v>0</v>
      </c>
      <c r="I49" s="56">
        <f t="shared" si="1"/>
        <v>0</v>
      </c>
      <c r="J49" s="56">
        <f t="shared" si="1"/>
        <v>0</v>
      </c>
      <c r="K49" s="56">
        <f t="shared" si="1"/>
        <v>0</v>
      </c>
      <c r="L49" s="56">
        <f t="shared" si="1"/>
        <v>0</v>
      </c>
      <c r="M49" s="56">
        <f t="shared" si="1"/>
        <v>0</v>
      </c>
      <c r="N49" s="56">
        <f t="shared" si="1"/>
        <v>0</v>
      </c>
      <c r="O49" s="56">
        <f t="shared" si="1"/>
        <v>0</v>
      </c>
      <c r="P49" s="56">
        <f t="shared" si="1"/>
        <v>0</v>
      </c>
      <c r="Q49" s="56">
        <f t="shared" si="1"/>
        <v>0</v>
      </c>
      <c r="R49" s="56">
        <f t="shared" si="1"/>
        <v>0</v>
      </c>
      <c r="S49" s="56">
        <f t="shared" si="1"/>
        <v>0</v>
      </c>
      <c r="T49" s="56">
        <f t="shared" si="1"/>
        <v>0</v>
      </c>
      <c r="U49" s="56">
        <f t="shared" si="1"/>
        <v>0</v>
      </c>
      <c r="V49" s="56">
        <f t="shared" si="1"/>
        <v>0</v>
      </c>
      <c r="W49" s="56">
        <f t="shared" si="1"/>
        <v>0</v>
      </c>
      <c r="X49" s="56">
        <f t="shared" si="1"/>
        <v>0</v>
      </c>
      <c r="Y49" s="56">
        <f t="shared" si="1"/>
        <v>0</v>
      </c>
      <c r="Z49" s="56">
        <f>+IF(OR(DATE(YEAR(Z$48),3,31)=Z$48,DATE(YEAR(Z$48),6,30)=Z$48,DATE(YEAR(Z$48),9,30)=Z$48,DATE(YEAR(Z$48),12,31)=Z$48),-$D$49,0)</f>
        <v>0</v>
      </c>
    </row>
    <row r="50" spans="1:27" s="1" customFormat="1" ht="21.75" hidden="1" customHeight="1" x14ac:dyDescent="0.45">
      <c r="B50" s="57" t="s">
        <v>16</v>
      </c>
      <c r="C50" s="54"/>
      <c r="D50" s="58" t="s">
        <v>13</v>
      </c>
      <c r="E50" s="56">
        <f>IF(D50="-",-$F$6,IF(F48="",$F$6,0))</f>
        <v>-2500</v>
      </c>
      <c r="F50" s="56">
        <f>IF(E50="-",-$F$6,IF(G48="",$F$6,0))</f>
        <v>0</v>
      </c>
      <c r="G50" s="56">
        <f>IF(F50="-",-$F$6,IF(H48="",$F$6,0))</f>
        <v>0</v>
      </c>
      <c r="H50" s="56">
        <f t="shared" ref="H50:X50" si="2">IF(G50="-",-$F$6,IF(I48="",$F$6,0))</f>
        <v>0</v>
      </c>
      <c r="I50" s="56">
        <f t="shared" si="2"/>
        <v>0</v>
      </c>
      <c r="J50" s="56">
        <f t="shared" si="2"/>
        <v>0</v>
      </c>
      <c r="K50" s="56">
        <f t="shared" si="2"/>
        <v>0</v>
      </c>
      <c r="L50" s="56">
        <f t="shared" si="2"/>
        <v>0</v>
      </c>
      <c r="M50" s="56">
        <f t="shared" si="2"/>
        <v>0</v>
      </c>
      <c r="N50" s="56">
        <f t="shared" si="2"/>
        <v>0</v>
      </c>
      <c r="O50" s="56">
        <f t="shared" si="2"/>
        <v>0</v>
      </c>
      <c r="P50" s="56">
        <f t="shared" si="2"/>
        <v>0</v>
      </c>
      <c r="Q50" s="56">
        <f t="shared" si="2"/>
        <v>0</v>
      </c>
      <c r="R50" s="56">
        <f t="shared" si="2"/>
        <v>0</v>
      </c>
      <c r="S50" s="56">
        <f t="shared" si="2"/>
        <v>0</v>
      </c>
      <c r="T50" s="56">
        <f t="shared" si="2"/>
        <v>0</v>
      </c>
      <c r="U50" s="56">
        <f t="shared" si="2"/>
        <v>0</v>
      </c>
      <c r="V50" s="56">
        <f t="shared" si="2"/>
        <v>0</v>
      </c>
      <c r="W50" s="56">
        <f t="shared" si="2"/>
        <v>0</v>
      </c>
      <c r="X50" s="56">
        <f t="shared" si="2"/>
        <v>0</v>
      </c>
      <c r="Y50" s="56">
        <f>IF(X50="-",-$F$6,IF(Z48="",$F$6,0))</f>
        <v>0</v>
      </c>
      <c r="Z50" s="56">
        <f>IF(Y50="-",-$F$6,IF(AA48="",$F$6,0))</f>
        <v>2500</v>
      </c>
    </row>
    <row r="51" spans="1:27" s="1" customFormat="1" ht="21.75" hidden="1" customHeight="1" x14ac:dyDescent="0.45">
      <c r="B51" s="59" t="s">
        <v>8</v>
      </c>
      <c r="C51" s="60"/>
      <c r="D51" s="61" t="str">
        <f>+IF($F$21=1,IF($F$6&lt;=8/0.002,"8€",IF($F$6&gt;8/0.002,0.2%)),IF($F$6&lt;=12/0.005,"12€",IF($F$6&gt;12/0.05, 0.5%)))</f>
        <v>8€</v>
      </c>
      <c r="E51" s="56">
        <f>+-IF(OR($D51="12€",$D51="8€"),$D51,$F$6*$D$51)</f>
        <v>-8</v>
      </c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7" s="1" customFormat="1" ht="21.75" hidden="1" customHeight="1" x14ac:dyDescent="0.45">
      <c r="B52" s="57" t="s">
        <v>17</v>
      </c>
      <c r="C52" s="54"/>
      <c r="D52" s="62">
        <v>0.04</v>
      </c>
      <c r="E52" s="56">
        <f>+E51*D52</f>
        <v>-0.32</v>
      </c>
      <c r="F52" s="56"/>
      <c r="G52" s="56"/>
      <c r="H52" s="56"/>
      <c r="I52" s="56">
        <f>+I51*D52</f>
        <v>0</v>
      </c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7" s="1" customFormat="1" ht="21.75" hidden="1" customHeight="1" x14ac:dyDescent="0.45">
      <c r="B53" s="57" t="s">
        <v>15</v>
      </c>
      <c r="C53" s="54"/>
      <c r="D53" s="63" t="s">
        <v>13</v>
      </c>
      <c r="E53" s="56">
        <f t="shared" ref="E53:Y53" si="3">+IF(D$53="-",0,IF(E$48&lt;&gt;EOMONTH(E$48,0),ROUNDUP((($F$6*$D$46)/100),2),0))</f>
        <v>0</v>
      </c>
      <c r="F53" s="56">
        <f t="shared" si="3"/>
        <v>0</v>
      </c>
      <c r="G53" s="56">
        <f t="shared" si="3"/>
        <v>0</v>
      </c>
      <c r="H53" s="56">
        <f>+IF(G$53="-",0,IF(H$48&lt;&gt;EOMONTH(H$48,0),ROUNDUP((($F$6*$D$46)/100),2),0))</f>
        <v>68.75</v>
      </c>
      <c r="I53" s="56">
        <f t="shared" si="3"/>
        <v>0</v>
      </c>
      <c r="J53" s="56">
        <f t="shared" si="3"/>
        <v>0</v>
      </c>
      <c r="K53" s="56">
        <f t="shared" si="3"/>
        <v>68.75</v>
      </c>
      <c r="L53" s="56">
        <f t="shared" si="3"/>
        <v>0</v>
      </c>
      <c r="M53" s="56">
        <f t="shared" si="3"/>
        <v>0</v>
      </c>
      <c r="N53" s="56">
        <f t="shared" si="3"/>
        <v>68.75</v>
      </c>
      <c r="O53" s="56">
        <f t="shared" si="3"/>
        <v>0</v>
      </c>
      <c r="P53" s="56">
        <f t="shared" si="3"/>
        <v>0</v>
      </c>
      <c r="Q53" s="56">
        <f t="shared" si="3"/>
        <v>68.75</v>
      </c>
      <c r="R53" s="56">
        <f t="shared" si="3"/>
        <v>0</v>
      </c>
      <c r="S53" s="56">
        <f t="shared" si="3"/>
        <v>0</v>
      </c>
      <c r="T53" s="56">
        <f t="shared" si="3"/>
        <v>68.75</v>
      </c>
      <c r="U53" s="56">
        <f t="shared" si="3"/>
        <v>0</v>
      </c>
      <c r="V53" s="56">
        <f t="shared" si="3"/>
        <v>0</v>
      </c>
      <c r="W53" s="56">
        <f t="shared" si="3"/>
        <v>68.75</v>
      </c>
      <c r="X53" s="56">
        <f t="shared" si="3"/>
        <v>0</v>
      </c>
      <c r="Y53" s="56">
        <f t="shared" si="3"/>
        <v>0</v>
      </c>
      <c r="Z53" s="56">
        <f>+IF(Y$53="-",0,IF(Z$48&lt;&gt;EOMONTH(Z$48,0),ROUNDUP((($F$6*$Z$46)/100),2),0))</f>
        <v>91.67</v>
      </c>
    </row>
    <row r="54" spans="1:27" s="1" customFormat="1" ht="21.75" hidden="1" customHeight="1" x14ac:dyDescent="0.45">
      <c r="B54" s="57" t="str">
        <f>+IF(OR($F$23=1,$F$23=3),"IRS","IRC")</f>
        <v>IRS</v>
      </c>
      <c r="C54" s="54"/>
      <c r="D54" s="62">
        <f>+IF($F$23=1, 28%, IF($F$23=2, 25%, IF($F$23=3,19.6%,17.5%)))</f>
        <v>0.28000000000000003</v>
      </c>
      <c r="E54" s="56">
        <f t="shared" ref="E54:G54" si="4">IF(E53&lt;&gt;0,ROUND((-E53*$D$54),2),0)</f>
        <v>0</v>
      </c>
      <c r="F54" s="56">
        <f t="shared" si="4"/>
        <v>0</v>
      </c>
      <c r="G54" s="56">
        <f t="shared" si="4"/>
        <v>0</v>
      </c>
      <c r="H54" s="56">
        <f>IF(H53&lt;&gt;0,ROUND((-H53*$D$54),2),0)</f>
        <v>-19.25</v>
      </c>
      <c r="I54" s="56">
        <f t="shared" ref="I54:Y54" si="5">IF(I53&lt;&gt;0,ROUND((-I53*$D$54),2),0)</f>
        <v>0</v>
      </c>
      <c r="J54" s="56">
        <f t="shared" si="5"/>
        <v>0</v>
      </c>
      <c r="K54" s="56">
        <f t="shared" si="5"/>
        <v>-19.25</v>
      </c>
      <c r="L54" s="56">
        <f t="shared" si="5"/>
        <v>0</v>
      </c>
      <c r="M54" s="56">
        <f t="shared" si="5"/>
        <v>0</v>
      </c>
      <c r="N54" s="56">
        <f t="shared" si="5"/>
        <v>-19.25</v>
      </c>
      <c r="O54" s="56">
        <f t="shared" si="5"/>
        <v>0</v>
      </c>
      <c r="P54" s="56">
        <f t="shared" si="5"/>
        <v>0</v>
      </c>
      <c r="Q54" s="56">
        <f t="shared" si="5"/>
        <v>-19.25</v>
      </c>
      <c r="R54" s="56">
        <f t="shared" si="5"/>
        <v>0</v>
      </c>
      <c r="S54" s="56">
        <f t="shared" si="5"/>
        <v>0</v>
      </c>
      <c r="T54" s="56">
        <f t="shared" si="5"/>
        <v>-19.25</v>
      </c>
      <c r="U54" s="56">
        <f t="shared" si="5"/>
        <v>0</v>
      </c>
      <c r="V54" s="56">
        <f t="shared" si="5"/>
        <v>0</v>
      </c>
      <c r="W54" s="56">
        <f t="shared" si="5"/>
        <v>-19.25</v>
      </c>
      <c r="X54" s="56">
        <f t="shared" si="5"/>
        <v>0</v>
      </c>
      <c r="Y54" s="56">
        <f t="shared" si="5"/>
        <v>0</v>
      </c>
      <c r="Z54" s="56">
        <f t="shared" ref="Z54" si="6">IF(Z53&lt;&gt;0,ROUND((-Z53*$D$54),2),0)</f>
        <v>-25.67</v>
      </c>
    </row>
    <row r="55" spans="1:27" s="1" customFormat="1" ht="21.75" hidden="1" customHeight="1" x14ac:dyDescent="0.45">
      <c r="B55" s="57" t="s">
        <v>12</v>
      </c>
      <c r="C55" s="54"/>
      <c r="D55" s="62">
        <v>2.4E-2</v>
      </c>
      <c r="E55" s="56">
        <f t="shared" ref="E55:G55" si="7">IF(E54&lt;&gt;"",-ROUND((E53+E54)*$D$55,2),0)</f>
        <v>0</v>
      </c>
      <c r="F55" s="56">
        <f t="shared" si="7"/>
        <v>0</v>
      </c>
      <c r="G55" s="56">
        <f t="shared" si="7"/>
        <v>0</v>
      </c>
      <c r="H55" s="56">
        <f>IF(H54&lt;&gt;"",-ROUND((H53+H54)*$D$55,2),0)</f>
        <v>-1.19</v>
      </c>
      <c r="I55" s="56">
        <f t="shared" ref="I55:Y55" si="8">IF(I54&lt;&gt;"",-ROUND((I53+I54)*$D$55,2),0)</f>
        <v>0</v>
      </c>
      <c r="J55" s="56">
        <f t="shared" si="8"/>
        <v>0</v>
      </c>
      <c r="K55" s="56">
        <f t="shared" si="8"/>
        <v>-1.19</v>
      </c>
      <c r="L55" s="56">
        <f t="shared" si="8"/>
        <v>0</v>
      </c>
      <c r="M55" s="56">
        <f t="shared" si="8"/>
        <v>0</v>
      </c>
      <c r="N55" s="56">
        <f t="shared" si="8"/>
        <v>-1.19</v>
      </c>
      <c r="O55" s="56">
        <f t="shared" si="8"/>
        <v>0</v>
      </c>
      <c r="P55" s="56">
        <f t="shared" si="8"/>
        <v>0</v>
      </c>
      <c r="Q55" s="56">
        <f t="shared" si="8"/>
        <v>-1.19</v>
      </c>
      <c r="R55" s="56">
        <f t="shared" si="8"/>
        <v>0</v>
      </c>
      <c r="S55" s="56">
        <f t="shared" si="8"/>
        <v>0</v>
      </c>
      <c r="T55" s="56">
        <f t="shared" si="8"/>
        <v>-1.19</v>
      </c>
      <c r="U55" s="56">
        <f t="shared" si="8"/>
        <v>0</v>
      </c>
      <c r="V55" s="56">
        <f t="shared" si="8"/>
        <v>0</v>
      </c>
      <c r="W55" s="56">
        <f t="shared" si="8"/>
        <v>-1.19</v>
      </c>
      <c r="X55" s="56">
        <f t="shared" si="8"/>
        <v>0</v>
      </c>
      <c r="Y55" s="56">
        <f t="shared" si="8"/>
        <v>0</v>
      </c>
      <c r="Z55" s="56">
        <f t="shared" ref="Z55" si="9">IF(Z54&lt;&gt;"",-ROUND((Z53+Z54)*$D$55,2),0)</f>
        <v>-1.58</v>
      </c>
    </row>
    <row r="56" spans="1:27" s="1" customFormat="1" ht="21.75" hidden="1" customHeight="1" x14ac:dyDescent="0.45">
      <c r="B56" s="57" t="s">
        <v>11</v>
      </c>
      <c r="C56" s="54"/>
      <c r="D56" s="62">
        <v>3.5000000000000001E-3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>
        <f>-($F$6)*$D$56</f>
        <v>-8.75</v>
      </c>
    </row>
    <row r="57" spans="1:27" s="1" customFormat="1" ht="21.75" hidden="1" customHeight="1" x14ac:dyDescent="0.45">
      <c r="B57" s="57" t="s">
        <v>5</v>
      </c>
      <c r="C57" s="54"/>
      <c r="D57" s="55">
        <f>+IF($F$19=1,0,0.4)</f>
        <v>0</v>
      </c>
      <c r="E57" s="89">
        <f>+IF(F$48="",IF($D$57&lt;&gt;"",IF(E$48&lt;&gt;EOMONTH(E$48,0),-$D$57,0),0)*2,IF($D$57&lt;&gt;"",IF(E$48&lt;&gt;EOMONTH(E$48,0),-$D$57,0),0))</f>
        <v>0</v>
      </c>
      <c r="F57" s="89">
        <f t="shared" ref="F57:Z57" si="10">+IF(G$48="",IF($D$57&lt;&gt;"",IF(F$48&lt;&gt;EOMONTH(F$48,0),-$D$57,0),0)*2,IF($D$57&lt;&gt;"",IF(F$48&lt;&gt;EOMONTH(F$48,0),-$D$57,0),0))</f>
        <v>0</v>
      </c>
      <c r="G57" s="89">
        <f t="shared" si="10"/>
        <v>0</v>
      </c>
      <c r="H57" s="89">
        <f t="shared" si="10"/>
        <v>0</v>
      </c>
      <c r="I57" s="89">
        <f t="shared" si="10"/>
        <v>0</v>
      </c>
      <c r="J57" s="89">
        <f t="shared" si="10"/>
        <v>0</v>
      </c>
      <c r="K57" s="89">
        <f t="shared" si="10"/>
        <v>0</v>
      </c>
      <c r="L57" s="89">
        <f t="shared" si="10"/>
        <v>0</v>
      </c>
      <c r="M57" s="89">
        <f t="shared" si="10"/>
        <v>0</v>
      </c>
      <c r="N57" s="89">
        <f t="shared" si="10"/>
        <v>0</v>
      </c>
      <c r="O57" s="89">
        <f t="shared" si="10"/>
        <v>0</v>
      </c>
      <c r="P57" s="89">
        <f t="shared" si="10"/>
        <v>0</v>
      </c>
      <c r="Q57" s="89">
        <f t="shared" si="10"/>
        <v>0</v>
      </c>
      <c r="R57" s="89">
        <f t="shared" si="10"/>
        <v>0</v>
      </c>
      <c r="S57" s="89">
        <f t="shared" si="10"/>
        <v>0</v>
      </c>
      <c r="T57" s="89">
        <f t="shared" si="10"/>
        <v>0</v>
      </c>
      <c r="U57" s="89">
        <f t="shared" si="10"/>
        <v>0</v>
      </c>
      <c r="V57" s="89">
        <f t="shared" si="10"/>
        <v>0</v>
      </c>
      <c r="W57" s="89">
        <f t="shared" si="10"/>
        <v>0</v>
      </c>
      <c r="X57" s="89">
        <f t="shared" si="10"/>
        <v>0</v>
      </c>
      <c r="Y57" s="89">
        <f t="shared" si="10"/>
        <v>0</v>
      </c>
      <c r="Z57" s="89">
        <f t="shared" si="10"/>
        <v>0</v>
      </c>
    </row>
    <row r="58" spans="1:27" s="1" customFormat="1" ht="21.75" hidden="1" customHeight="1" x14ac:dyDescent="0.45">
      <c r="B58" s="59" t="s">
        <v>14</v>
      </c>
      <c r="C58" s="60"/>
      <c r="D58" s="55">
        <f>+IF($F$19=1,0,1.05)</f>
        <v>0</v>
      </c>
      <c r="E58" s="64">
        <f>+IF(F$48="",IF($D$58&lt;&gt;"",IF(E$48&lt;&gt;EOMONTH(E$48,0),-$D$58,0),0)*2,IF($D$58&lt;&gt;"",IF(E$48&lt;&gt;EOMONTH(E$48,0),-$D$58,0),0))</f>
        <v>0</v>
      </c>
      <c r="F58" s="64">
        <f t="shared" ref="F58:Z58" si="11">+IF(G$48="",IF($D$58&lt;&gt;"",IF(F$48&lt;&gt;EOMONTH(F$48,0),-$D$58,0),0)*2,IF($D$58&lt;&gt;"",IF(F$48&lt;&gt;EOMONTH(F$48,0),-$D$58,0),0))</f>
        <v>0</v>
      </c>
      <c r="G58" s="64">
        <f t="shared" si="11"/>
        <v>0</v>
      </c>
      <c r="H58" s="64">
        <f t="shared" si="11"/>
        <v>0</v>
      </c>
      <c r="I58" s="64">
        <f t="shared" si="11"/>
        <v>0</v>
      </c>
      <c r="J58" s="64">
        <f t="shared" si="11"/>
        <v>0</v>
      </c>
      <c r="K58" s="64">
        <f t="shared" si="11"/>
        <v>0</v>
      </c>
      <c r="L58" s="64">
        <f t="shared" si="11"/>
        <v>0</v>
      </c>
      <c r="M58" s="64">
        <f t="shared" si="11"/>
        <v>0</v>
      </c>
      <c r="N58" s="64">
        <f t="shared" si="11"/>
        <v>0</v>
      </c>
      <c r="O58" s="64">
        <f t="shared" si="11"/>
        <v>0</v>
      </c>
      <c r="P58" s="64">
        <f t="shared" si="11"/>
        <v>0</v>
      </c>
      <c r="Q58" s="64">
        <f t="shared" si="11"/>
        <v>0</v>
      </c>
      <c r="R58" s="64">
        <f t="shared" si="11"/>
        <v>0</v>
      </c>
      <c r="S58" s="64">
        <f t="shared" si="11"/>
        <v>0</v>
      </c>
      <c r="T58" s="64">
        <f t="shared" si="11"/>
        <v>0</v>
      </c>
      <c r="U58" s="64">
        <f t="shared" si="11"/>
        <v>0</v>
      </c>
      <c r="V58" s="64">
        <f t="shared" si="11"/>
        <v>0</v>
      </c>
      <c r="W58" s="64">
        <f t="shared" si="11"/>
        <v>0</v>
      </c>
      <c r="X58" s="64">
        <f t="shared" si="11"/>
        <v>0</v>
      </c>
      <c r="Y58" s="64">
        <f t="shared" si="11"/>
        <v>0</v>
      </c>
      <c r="Z58" s="64">
        <f t="shared" si="11"/>
        <v>0</v>
      </c>
    </row>
    <row r="59" spans="1:27" s="1" customFormat="1" ht="21.75" hidden="1" customHeight="1" x14ac:dyDescent="0.45">
      <c r="B59" s="57" t="s">
        <v>6</v>
      </c>
      <c r="C59" s="54"/>
      <c r="D59" s="62">
        <v>0.23</v>
      </c>
      <c r="E59" s="56">
        <f>+ROUNDDOWN((E49+E55+E56+E58)*$D$59, 2)</f>
        <v>0</v>
      </c>
      <c r="F59" s="56">
        <f>+ROUNDDOWN((F49+F55+F56+F58)*$D$59, 2)</f>
        <v>0</v>
      </c>
      <c r="G59" s="56">
        <f t="shared" ref="G59:Y59" si="12">+ROUNDDOWN((G49+G55+G56+G58)*$D$59, 2)</f>
        <v>0</v>
      </c>
      <c r="H59" s="56">
        <f t="shared" si="12"/>
        <v>-0.27</v>
      </c>
      <c r="I59" s="56">
        <f t="shared" si="12"/>
        <v>0</v>
      </c>
      <c r="J59" s="56">
        <f t="shared" si="12"/>
        <v>0</v>
      </c>
      <c r="K59" s="56">
        <f t="shared" si="12"/>
        <v>-0.27</v>
      </c>
      <c r="L59" s="56">
        <f t="shared" si="12"/>
        <v>0</v>
      </c>
      <c r="M59" s="56">
        <f t="shared" si="12"/>
        <v>0</v>
      </c>
      <c r="N59" s="56">
        <f t="shared" si="12"/>
        <v>-0.27</v>
      </c>
      <c r="O59" s="56">
        <f t="shared" si="12"/>
        <v>0</v>
      </c>
      <c r="P59" s="56">
        <f t="shared" si="12"/>
        <v>0</v>
      </c>
      <c r="Q59" s="56">
        <f t="shared" si="12"/>
        <v>-0.27</v>
      </c>
      <c r="R59" s="56">
        <f t="shared" si="12"/>
        <v>0</v>
      </c>
      <c r="S59" s="56">
        <f t="shared" si="12"/>
        <v>0</v>
      </c>
      <c r="T59" s="56">
        <f t="shared" si="12"/>
        <v>-0.27</v>
      </c>
      <c r="U59" s="56">
        <f t="shared" si="12"/>
        <v>0</v>
      </c>
      <c r="V59" s="56">
        <f t="shared" si="12"/>
        <v>0</v>
      </c>
      <c r="W59" s="56">
        <f t="shared" si="12"/>
        <v>-0.27</v>
      </c>
      <c r="X59" s="56">
        <f t="shared" si="12"/>
        <v>0</v>
      </c>
      <c r="Y59" s="56">
        <f t="shared" si="12"/>
        <v>0</v>
      </c>
      <c r="Z59" s="56">
        <f>+ROUNDUP((Z49+Z55+Z56+Z58)*$D$59, 2)</f>
        <v>-2.38</v>
      </c>
    </row>
    <row r="60" spans="1:27" s="1" customFormat="1" ht="21.75" hidden="1" customHeight="1" x14ac:dyDescent="0.45">
      <c r="B60" s="107" t="s">
        <v>21</v>
      </c>
      <c r="C60" s="108"/>
      <c r="D60" s="109"/>
      <c r="E60" s="65">
        <f t="shared" ref="E60:Y60" si="13">+SUM(E49:E59)</f>
        <v>-2508.3200000000002</v>
      </c>
      <c r="F60" s="65">
        <f t="shared" si="13"/>
        <v>0</v>
      </c>
      <c r="G60" s="65">
        <f t="shared" si="13"/>
        <v>0</v>
      </c>
      <c r="H60" s="65">
        <f t="shared" si="13"/>
        <v>48.04</v>
      </c>
      <c r="I60" s="65">
        <f t="shared" si="13"/>
        <v>0</v>
      </c>
      <c r="J60" s="65">
        <f t="shared" si="13"/>
        <v>0</v>
      </c>
      <c r="K60" s="65">
        <f t="shared" si="13"/>
        <v>48.04</v>
      </c>
      <c r="L60" s="65">
        <f t="shared" si="13"/>
        <v>0</v>
      </c>
      <c r="M60" s="65">
        <f t="shared" si="13"/>
        <v>0</v>
      </c>
      <c r="N60" s="65">
        <f t="shared" si="13"/>
        <v>48.04</v>
      </c>
      <c r="O60" s="65">
        <f t="shared" si="13"/>
        <v>0</v>
      </c>
      <c r="P60" s="65">
        <f t="shared" si="13"/>
        <v>0</v>
      </c>
      <c r="Q60" s="65">
        <f t="shared" si="13"/>
        <v>48.04</v>
      </c>
      <c r="R60" s="65">
        <f t="shared" si="13"/>
        <v>0</v>
      </c>
      <c r="S60" s="65">
        <f t="shared" si="13"/>
        <v>0</v>
      </c>
      <c r="T60" s="65">
        <f t="shared" si="13"/>
        <v>48.04</v>
      </c>
      <c r="U60" s="65">
        <f t="shared" si="13"/>
        <v>0</v>
      </c>
      <c r="V60" s="65">
        <f t="shared" si="13"/>
        <v>0</v>
      </c>
      <c r="W60" s="65">
        <f t="shared" si="13"/>
        <v>48.04</v>
      </c>
      <c r="X60" s="65">
        <f t="shared" si="13"/>
        <v>0</v>
      </c>
      <c r="Y60" s="65">
        <f t="shared" si="13"/>
        <v>0</v>
      </c>
      <c r="Z60" s="65">
        <f t="shared" ref="Z60" si="14">+SUM(Z49:Z59)</f>
        <v>2553.29</v>
      </c>
    </row>
    <row r="61" spans="1:27" s="1" customFormat="1" hidden="1" x14ac:dyDescent="0.45">
      <c r="B61" s="44" t="s">
        <v>10</v>
      </c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</row>
    <row r="62" spans="1:27" s="1" customFormat="1" hidden="1" x14ac:dyDescent="0.45">
      <c r="B62" s="44" t="s">
        <v>9</v>
      </c>
      <c r="H62" s="41"/>
      <c r="I62" s="67"/>
      <c r="N62" s="68"/>
    </row>
    <row r="63" spans="1:27" s="1" customFormat="1" ht="15.75" hidden="1" customHeight="1" x14ac:dyDescent="0.45"/>
    <row r="64" spans="1:27" s="1" customFormat="1" ht="24" x14ac:dyDescent="0.45">
      <c r="A64" s="69"/>
      <c r="B64" s="70" t="s">
        <v>28</v>
      </c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7"/>
      <c r="Q64" s="7"/>
      <c r="R64" s="7"/>
      <c r="S64" s="7"/>
      <c r="T64" s="7"/>
      <c r="U64" s="41"/>
      <c r="Y64" s="7"/>
      <c r="Z64" s="7"/>
      <c r="AA64" s="41"/>
    </row>
    <row r="65" spans="2:27" s="1" customFormat="1" x14ac:dyDescent="0.45">
      <c r="U65" s="71"/>
      <c r="AA65" s="71"/>
    </row>
    <row r="66" spans="2:27" s="1" customFormat="1" ht="21.75" customHeight="1" x14ac:dyDescent="0.45">
      <c r="B66" s="50"/>
      <c r="C66" s="50"/>
      <c r="D66" s="50"/>
      <c r="E66" s="93">
        <v>2025</v>
      </c>
      <c r="F66" s="93"/>
      <c r="G66" s="93"/>
      <c r="H66" s="93"/>
      <c r="I66" s="93"/>
      <c r="J66" s="93">
        <v>2026</v>
      </c>
      <c r="K66" s="93"/>
      <c r="L66" s="93"/>
      <c r="M66" s="93"/>
      <c r="N66" s="93"/>
      <c r="O66" s="93"/>
      <c r="S66" s="95"/>
      <c r="T66" s="95"/>
      <c r="U66" s="95"/>
      <c r="V66" s="95"/>
      <c r="W66" s="72"/>
      <c r="Y66" s="95"/>
      <c r="Z66" s="95"/>
      <c r="AA66" s="95"/>
    </row>
    <row r="67" spans="2:27" s="1" customFormat="1" ht="21.75" customHeight="1" x14ac:dyDescent="0.45">
      <c r="B67" s="90" t="s">
        <v>7</v>
      </c>
      <c r="C67" s="91"/>
      <c r="D67" s="92"/>
      <c r="E67" s="73">
        <f t="shared" ref="E67:O67" si="15">E48</f>
        <v>45749</v>
      </c>
      <c r="F67" s="73">
        <f t="shared" si="15"/>
        <v>45838</v>
      </c>
      <c r="G67" s="73">
        <f t="shared" ref="G67:L67" si="16">G48</f>
        <v>45930</v>
      </c>
      <c r="H67" s="73">
        <f t="shared" si="16"/>
        <v>45932</v>
      </c>
      <c r="I67" s="73">
        <f t="shared" si="16"/>
        <v>46022</v>
      </c>
      <c r="J67" s="73">
        <f t="shared" si="16"/>
        <v>46112</v>
      </c>
      <c r="K67" s="73">
        <f t="shared" si="16"/>
        <v>46114</v>
      </c>
      <c r="L67" s="73">
        <f t="shared" si="16"/>
        <v>46203</v>
      </c>
      <c r="M67" s="73">
        <f t="shared" si="15"/>
        <v>46295</v>
      </c>
      <c r="N67" s="73">
        <f t="shared" si="15"/>
        <v>46297</v>
      </c>
      <c r="O67" s="73">
        <f t="shared" si="15"/>
        <v>46387</v>
      </c>
      <c r="S67" s="74"/>
      <c r="T67" s="74"/>
      <c r="U67" s="74"/>
      <c r="V67" s="74"/>
      <c r="W67" s="74"/>
      <c r="Y67" s="74"/>
      <c r="Z67" s="74"/>
      <c r="AA67" s="74"/>
    </row>
    <row r="68" spans="2:27" s="1" customFormat="1" ht="21.65" customHeight="1" x14ac:dyDescent="0.45">
      <c r="B68" s="53" t="s">
        <v>46</v>
      </c>
      <c r="C68" s="54"/>
      <c r="D68" s="55">
        <f>+IF($F$17=1,0,IF(OR($F$21=1,$F$21=3),6,9))</f>
        <v>0</v>
      </c>
      <c r="E68" s="56">
        <f t="shared" ref="E68:O68" si="17">E49</f>
        <v>0</v>
      </c>
      <c r="F68" s="56">
        <f t="shared" si="17"/>
        <v>0</v>
      </c>
      <c r="G68" s="56">
        <f t="shared" si="17"/>
        <v>0</v>
      </c>
      <c r="H68" s="56">
        <f t="shared" si="17"/>
        <v>0</v>
      </c>
      <c r="I68" s="56">
        <f t="shared" si="17"/>
        <v>0</v>
      </c>
      <c r="J68" s="56">
        <f t="shared" si="17"/>
        <v>0</v>
      </c>
      <c r="K68" s="56">
        <f t="shared" si="17"/>
        <v>0</v>
      </c>
      <c r="L68" s="56">
        <f t="shared" si="17"/>
        <v>0</v>
      </c>
      <c r="M68" s="56">
        <f t="shared" si="17"/>
        <v>0</v>
      </c>
      <c r="N68" s="56">
        <f t="shared" si="17"/>
        <v>0</v>
      </c>
      <c r="O68" s="56">
        <f t="shared" si="17"/>
        <v>0</v>
      </c>
      <c r="S68" s="75"/>
      <c r="T68" s="75"/>
      <c r="U68" s="75"/>
      <c r="V68" s="75"/>
      <c r="W68" s="75"/>
      <c r="Y68" s="75"/>
      <c r="Z68" s="75"/>
      <c r="AA68" s="75"/>
    </row>
    <row r="69" spans="2:27" s="1" customFormat="1" ht="21.75" customHeight="1" x14ac:dyDescent="0.45">
      <c r="B69" s="57" t="s">
        <v>16</v>
      </c>
      <c r="C69" s="54"/>
      <c r="D69" s="58" t="s">
        <v>13</v>
      </c>
      <c r="E69" s="56">
        <f>E50</f>
        <v>-2500</v>
      </c>
      <c r="F69" s="56">
        <f t="shared" ref="E69:O78" si="18">F50</f>
        <v>0</v>
      </c>
      <c r="G69" s="56">
        <f t="shared" si="18"/>
        <v>0</v>
      </c>
      <c r="H69" s="56">
        <f t="shared" si="18"/>
        <v>0</v>
      </c>
      <c r="I69" s="56">
        <f t="shared" si="18"/>
        <v>0</v>
      </c>
      <c r="J69" s="56">
        <f t="shared" si="18"/>
        <v>0</v>
      </c>
      <c r="K69" s="56">
        <f t="shared" si="18"/>
        <v>0</v>
      </c>
      <c r="L69" s="56">
        <f t="shared" si="18"/>
        <v>0</v>
      </c>
      <c r="M69" s="56">
        <f t="shared" si="18"/>
        <v>0</v>
      </c>
      <c r="N69" s="56">
        <f t="shared" si="18"/>
        <v>0</v>
      </c>
      <c r="O69" s="56">
        <f t="shared" si="18"/>
        <v>0</v>
      </c>
      <c r="S69" s="75"/>
      <c r="T69" s="75"/>
      <c r="U69" s="75"/>
      <c r="V69" s="75"/>
      <c r="W69" s="75"/>
      <c r="Y69" s="75"/>
      <c r="Z69" s="75"/>
      <c r="AA69" s="75"/>
    </row>
    <row r="70" spans="2:27" s="1" customFormat="1" ht="21.75" customHeight="1" x14ac:dyDescent="0.45">
      <c r="B70" s="59" t="s">
        <v>8</v>
      </c>
      <c r="C70" s="60"/>
      <c r="D70" s="61" t="str">
        <f>+IF($F$21=1,IF($F$6&lt;=8/0.002,"8€",IF($F$6&gt;8/0.002,0.2%)),IF($F$6&lt;=12/0.005,"12€",IF($F$6&gt;12/0.05, 0.5%)))</f>
        <v>8€</v>
      </c>
      <c r="E70" s="56">
        <f t="shared" si="18"/>
        <v>-8</v>
      </c>
      <c r="F70" s="56">
        <f t="shared" si="18"/>
        <v>0</v>
      </c>
      <c r="G70" s="56">
        <f t="shared" si="18"/>
        <v>0</v>
      </c>
      <c r="H70" s="56">
        <f t="shared" si="18"/>
        <v>0</v>
      </c>
      <c r="I70" s="56">
        <f t="shared" si="18"/>
        <v>0</v>
      </c>
      <c r="J70" s="56">
        <f t="shared" si="18"/>
        <v>0</v>
      </c>
      <c r="K70" s="56">
        <f t="shared" si="18"/>
        <v>0</v>
      </c>
      <c r="L70" s="56">
        <f t="shared" si="18"/>
        <v>0</v>
      </c>
      <c r="M70" s="56">
        <f t="shared" si="18"/>
        <v>0</v>
      </c>
      <c r="N70" s="56">
        <f t="shared" si="18"/>
        <v>0</v>
      </c>
      <c r="O70" s="56">
        <f t="shared" si="18"/>
        <v>0</v>
      </c>
      <c r="S70" s="75"/>
      <c r="T70" s="75"/>
      <c r="U70" s="75"/>
      <c r="V70" s="75"/>
      <c r="W70" s="75"/>
      <c r="Y70" s="75"/>
      <c r="Z70" s="75"/>
      <c r="AA70" s="75"/>
    </row>
    <row r="71" spans="2:27" s="1" customFormat="1" ht="21.75" customHeight="1" x14ac:dyDescent="0.45">
      <c r="B71" s="57" t="s">
        <v>17</v>
      </c>
      <c r="C71" s="54"/>
      <c r="D71" s="62">
        <v>0.04</v>
      </c>
      <c r="E71" s="56">
        <f t="shared" si="18"/>
        <v>-0.32</v>
      </c>
      <c r="F71" s="56">
        <f t="shared" si="18"/>
        <v>0</v>
      </c>
      <c r="G71" s="56">
        <f t="shared" si="18"/>
        <v>0</v>
      </c>
      <c r="H71" s="56">
        <f t="shared" si="18"/>
        <v>0</v>
      </c>
      <c r="I71" s="56">
        <f t="shared" si="18"/>
        <v>0</v>
      </c>
      <c r="J71" s="56">
        <f t="shared" si="18"/>
        <v>0</v>
      </c>
      <c r="K71" s="56">
        <f t="shared" si="18"/>
        <v>0</v>
      </c>
      <c r="L71" s="56">
        <f t="shared" si="18"/>
        <v>0</v>
      </c>
      <c r="M71" s="56">
        <f t="shared" si="18"/>
        <v>0</v>
      </c>
      <c r="N71" s="56">
        <f t="shared" si="18"/>
        <v>0</v>
      </c>
      <c r="O71" s="56">
        <f t="shared" si="18"/>
        <v>0</v>
      </c>
      <c r="S71" s="75"/>
      <c r="T71" s="75"/>
      <c r="U71" s="75"/>
      <c r="V71" s="75"/>
      <c r="W71" s="75"/>
      <c r="Y71" s="75"/>
      <c r="Z71" s="75"/>
      <c r="AA71" s="75"/>
    </row>
    <row r="72" spans="2:27" s="1" customFormat="1" ht="21.75" customHeight="1" x14ac:dyDescent="0.45">
      <c r="B72" s="57" t="s">
        <v>15</v>
      </c>
      <c r="C72" s="54"/>
      <c r="D72" s="63" t="s">
        <v>13</v>
      </c>
      <c r="E72" s="56">
        <f t="shared" si="18"/>
        <v>0</v>
      </c>
      <c r="F72" s="56">
        <f t="shared" si="18"/>
        <v>0</v>
      </c>
      <c r="G72" s="56">
        <f t="shared" si="18"/>
        <v>0</v>
      </c>
      <c r="H72" s="56">
        <f t="shared" si="18"/>
        <v>68.75</v>
      </c>
      <c r="I72" s="56">
        <f t="shared" si="18"/>
        <v>0</v>
      </c>
      <c r="J72" s="56">
        <f t="shared" si="18"/>
        <v>0</v>
      </c>
      <c r="K72" s="56">
        <f t="shared" si="18"/>
        <v>68.75</v>
      </c>
      <c r="L72" s="56">
        <f t="shared" si="18"/>
        <v>0</v>
      </c>
      <c r="M72" s="56">
        <f t="shared" si="18"/>
        <v>0</v>
      </c>
      <c r="N72" s="56">
        <f t="shared" si="18"/>
        <v>68.75</v>
      </c>
      <c r="O72" s="56">
        <f t="shared" si="18"/>
        <v>0</v>
      </c>
      <c r="S72" s="75"/>
      <c r="T72" s="75"/>
      <c r="U72" s="75"/>
      <c r="V72" s="75"/>
      <c r="W72" s="75"/>
      <c r="Y72" s="75"/>
      <c r="Z72" s="75"/>
      <c r="AA72" s="75"/>
    </row>
    <row r="73" spans="2:27" s="1" customFormat="1" ht="21.75" customHeight="1" x14ac:dyDescent="0.45">
      <c r="B73" s="57" t="str">
        <f>+IF(OR($F$23=1,$F$23=3),"IRS","IRC")</f>
        <v>IRS</v>
      </c>
      <c r="C73" s="54"/>
      <c r="D73" s="62">
        <f>+IF($F$23=1, 28%, IF($F$23=2, 25%, IF($F$23=3,22.4%,20%)))</f>
        <v>0.28000000000000003</v>
      </c>
      <c r="E73" s="56">
        <f t="shared" si="18"/>
        <v>0</v>
      </c>
      <c r="F73" s="56">
        <f t="shared" si="18"/>
        <v>0</v>
      </c>
      <c r="G73" s="56">
        <f t="shared" si="18"/>
        <v>0</v>
      </c>
      <c r="H73" s="56">
        <f t="shared" si="18"/>
        <v>-19.25</v>
      </c>
      <c r="I73" s="56">
        <f t="shared" si="18"/>
        <v>0</v>
      </c>
      <c r="J73" s="56">
        <f t="shared" si="18"/>
        <v>0</v>
      </c>
      <c r="K73" s="56">
        <f t="shared" si="18"/>
        <v>-19.25</v>
      </c>
      <c r="L73" s="56">
        <f t="shared" si="18"/>
        <v>0</v>
      </c>
      <c r="M73" s="56">
        <f t="shared" si="18"/>
        <v>0</v>
      </c>
      <c r="N73" s="56">
        <f t="shared" si="18"/>
        <v>-19.25</v>
      </c>
      <c r="O73" s="56">
        <f t="shared" si="18"/>
        <v>0</v>
      </c>
      <c r="S73" s="76"/>
      <c r="T73" s="76"/>
      <c r="U73" s="76"/>
      <c r="V73" s="76"/>
      <c r="W73" s="76"/>
      <c r="Y73" s="76"/>
      <c r="Z73" s="76"/>
      <c r="AA73" s="76"/>
    </row>
    <row r="74" spans="2:27" s="1" customFormat="1" ht="21.75" customHeight="1" x14ac:dyDescent="0.45">
      <c r="B74" s="57" t="s">
        <v>12</v>
      </c>
      <c r="C74" s="54"/>
      <c r="D74" s="62">
        <v>2.4E-2</v>
      </c>
      <c r="E74" s="56">
        <f t="shared" si="18"/>
        <v>0</v>
      </c>
      <c r="F74" s="56">
        <f t="shared" si="18"/>
        <v>0</v>
      </c>
      <c r="G74" s="56">
        <f t="shared" si="18"/>
        <v>0</v>
      </c>
      <c r="H74" s="56">
        <f t="shared" si="18"/>
        <v>-1.19</v>
      </c>
      <c r="I74" s="56">
        <f t="shared" si="18"/>
        <v>0</v>
      </c>
      <c r="J74" s="56">
        <f t="shared" si="18"/>
        <v>0</v>
      </c>
      <c r="K74" s="56">
        <f t="shared" si="18"/>
        <v>-1.19</v>
      </c>
      <c r="L74" s="56">
        <f t="shared" si="18"/>
        <v>0</v>
      </c>
      <c r="M74" s="56">
        <f t="shared" si="18"/>
        <v>0</v>
      </c>
      <c r="N74" s="56">
        <f t="shared" si="18"/>
        <v>-1.19</v>
      </c>
      <c r="O74" s="56">
        <f t="shared" si="18"/>
        <v>0</v>
      </c>
      <c r="S74" s="76"/>
      <c r="T74" s="76"/>
      <c r="U74" s="76"/>
      <c r="V74" s="76"/>
      <c r="W74" s="76"/>
      <c r="Y74" s="76"/>
      <c r="Z74" s="76"/>
      <c r="AA74" s="76"/>
    </row>
    <row r="75" spans="2:27" s="1" customFormat="1" ht="21.75" customHeight="1" x14ac:dyDescent="0.45">
      <c r="B75" s="57" t="s">
        <v>11</v>
      </c>
      <c r="C75" s="54"/>
      <c r="D75" s="62">
        <v>3.5000000000000001E-3</v>
      </c>
      <c r="E75" s="56">
        <f>E56</f>
        <v>0</v>
      </c>
      <c r="F75" s="56">
        <f t="shared" si="18"/>
        <v>0</v>
      </c>
      <c r="G75" s="56">
        <f t="shared" si="18"/>
        <v>0</v>
      </c>
      <c r="H75" s="56">
        <f t="shared" si="18"/>
        <v>0</v>
      </c>
      <c r="I75" s="56">
        <f t="shared" si="18"/>
        <v>0</v>
      </c>
      <c r="J75" s="56">
        <f t="shared" si="18"/>
        <v>0</v>
      </c>
      <c r="K75" s="56">
        <f t="shared" si="18"/>
        <v>0</v>
      </c>
      <c r="L75" s="56">
        <f t="shared" si="18"/>
        <v>0</v>
      </c>
      <c r="M75" s="56">
        <f t="shared" si="18"/>
        <v>0</v>
      </c>
      <c r="N75" s="56">
        <f t="shared" si="18"/>
        <v>0</v>
      </c>
      <c r="O75" s="56">
        <f t="shared" si="18"/>
        <v>0</v>
      </c>
      <c r="S75" s="76"/>
      <c r="T75" s="76"/>
      <c r="U75" s="76"/>
      <c r="V75" s="76"/>
      <c r="W75" s="76"/>
      <c r="Y75" s="76"/>
      <c r="Z75" s="76"/>
      <c r="AA75" s="76"/>
    </row>
    <row r="76" spans="2:27" s="1" customFormat="1" ht="21.75" customHeight="1" x14ac:dyDescent="0.45">
      <c r="B76" s="57" t="s">
        <v>5</v>
      </c>
      <c r="C76" s="54"/>
      <c r="D76" s="55">
        <f>+IF($F$19=1,0,0.4)</f>
        <v>0</v>
      </c>
      <c r="E76" s="56">
        <f>E57</f>
        <v>0</v>
      </c>
      <c r="F76" s="56">
        <f t="shared" si="18"/>
        <v>0</v>
      </c>
      <c r="G76" s="56">
        <f t="shared" si="18"/>
        <v>0</v>
      </c>
      <c r="H76" s="56">
        <f>H57</f>
        <v>0</v>
      </c>
      <c r="I76" s="56">
        <f t="shared" si="18"/>
        <v>0</v>
      </c>
      <c r="J76" s="56">
        <f t="shared" si="18"/>
        <v>0</v>
      </c>
      <c r="K76" s="56">
        <f t="shared" si="18"/>
        <v>0</v>
      </c>
      <c r="L76" s="56">
        <f t="shared" si="18"/>
        <v>0</v>
      </c>
      <c r="M76" s="56">
        <f t="shared" si="18"/>
        <v>0</v>
      </c>
      <c r="N76" s="56">
        <f t="shared" si="18"/>
        <v>0</v>
      </c>
      <c r="O76" s="56">
        <f t="shared" si="18"/>
        <v>0</v>
      </c>
      <c r="S76" s="76"/>
      <c r="T76" s="76"/>
      <c r="U76" s="76"/>
      <c r="V76" s="76"/>
      <c r="W76" s="76"/>
      <c r="Y76" s="76"/>
      <c r="Z76" s="76"/>
      <c r="AA76" s="76"/>
    </row>
    <row r="77" spans="2:27" s="1" customFormat="1" ht="21.75" customHeight="1" x14ac:dyDescent="0.45">
      <c r="B77" s="59" t="s">
        <v>14</v>
      </c>
      <c r="C77" s="60"/>
      <c r="D77" s="55">
        <f>+IF($F$19=1,0,1.05)</f>
        <v>0</v>
      </c>
      <c r="E77" s="56">
        <f t="shared" si="18"/>
        <v>0</v>
      </c>
      <c r="F77" s="56">
        <f t="shared" si="18"/>
        <v>0</v>
      </c>
      <c r="G77" s="56">
        <f t="shared" si="18"/>
        <v>0</v>
      </c>
      <c r="H77" s="56">
        <f t="shared" si="18"/>
        <v>0</v>
      </c>
      <c r="I77" s="56">
        <f t="shared" si="18"/>
        <v>0</v>
      </c>
      <c r="J77" s="56">
        <f t="shared" si="18"/>
        <v>0</v>
      </c>
      <c r="K77" s="56">
        <f t="shared" si="18"/>
        <v>0</v>
      </c>
      <c r="L77" s="56">
        <f t="shared" si="18"/>
        <v>0</v>
      </c>
      <c r="M77" s="56">
        <f t="shared" si="18"/>
        <v>0</v>
      </c>
      <c r="N77" s="56">
        <f t="shared" si="18"/>
        <v>0</v>
      </c>
      <c r="O77" s="56">
        <f t="shared" si="18"/>
        <v>0</v>
      </c>
      <c r="S77" s="76"/>
      <c r="T77" s="76"/>
      <c r="U77" s="76"/>
      <c r="V77" s="76"/>
      <c r="W77" s="76"/>
      <c r="Y77" s="76"/>
      <c r="Z77" s="76"/>
      <c r="AA77" s="76"/>
    </row>
    <row r="78" spans="2:27" s="1" customFormat="1" ht="21.75" customHeight="1" x14ac:dyDescent="0.45">
      <c r="B78" s="57" t="s">
        <v>6</v>
      </c>
      <c r="C78" s="54"/>
      <c r="D78" s="62">
        <v>0.23</v>
      </c>
      <c r="E78" s="56">
        <f t="shared" si="18"/>
        <v>0</v>
      </c>
      <c r="F78" s="56">
        <f t="shared" si="18"/>
        <v>0</v>
      </c>
      <c r="G78" s="56">
        <f t="shared" si="18"/>
        <v>0</v>
      </c>
      <c r="H78" s="56">
        <f t="shared" si="18"/>
        <v>-0.27</v>
      </c>
      <c r="I78" s="56">
        <f t="shared" si="18"/>
        <v>0</v>
      </c>
      <c r="J78" s="56">
        <f t="shared" si="18"/>
        <v>0</v>
      </c>
      <c r="K78" s="56">
        <f t="shared" si="18"/>
        <v>-0.27</v>
      </c>
      <c r="L78" s="56">
        <f t="shared" si="18"/>
        <v>0</v>
      </c>
      <c r="M78" s="56">
        <f t="shared" si="18"/>
        <v>0</v>
      </c>
      <c r="N78" s="56">
        <f t="shared" si="18"/>
        <v>-0.27</v>
      </c>
      <c r="O78" s="56">
        <f t="shared" si="18"/>
        <v>0</v>
      </c>
      <c r="S78" s="76"/>
      <c r="T78" s="76"/>
      <c r="U78" s="76"/>
      <c r="V78" s="76"/>
      <c r="W78" s="76"/>
      <c r="Y78" s="76"/>
      <c r="Z78" s="76"/>
      <c r="AA78" s="76"/>
    </row>
    <row r="79" spans="2:27" s="1" customFormat="1" ht="21.75" customHeight="1" x14ac:dyDescent="0.45">
      <c r="B79" s="96" t="s">
        <v>21</v>
      </c>
      <c r="C79" s="97"/>
      <c r="D79" s="98"/>
      <c r="E79" s="77">
        <f>+SUM(E68:E78)</f>
        <v>-2508.3200000000002</v>
      </c>
      <c r="F79" s="78">
        <f>+SUM(F68:F78)</f>
        <v>0</v>
      </c>
      <c r="G79" s="78">
        <f t="shared" ref="G79:L79" si="19">+SUM(G68:G78)</f>
        <v>0</v>
      </c>
      <c r="H79" s="78">
        <f t="shared" si="19"/>
        <v>48.04</v>
      </c>
      <c r="I79" s="78">
        <f t="shared" si="19"/>
        <v>0</v>
      </c>
      <c r="J79" s="78">
        <f t="shared" si="19"/>
        <v>0</v>
      </c>
      <c r="K79" s="78">
        <f t="shared" si="19"/>
        <v>48.04</v>
      </c>
      <c r="L79" s="78">
        <f t="shared" si="19"/>
        <v>0</v>
      </c>
      <c r="M79" s="78">
        <f>+SUM(M68:M78)</f>
        <v>0</v>
      </c>
      <c r="N79" s="78">
        <f t="shared" ref="N79:O79" si="20">+SUM(N68:N78)</f>
        <v>48.04</v>
      </c>
      <c r="O79" s="78">
        <f t="shared" si="20"/>
        <v>0</v>
      </c>
      <c r="S79" s="79"/>
      <c r="T79" s="79"/>
      <c r="U79" s="79"/>
      <c r="V79" s="79"/>
      <c r="W79" s="79"/>
      <c r="Y79" s="79"/>
      <c r="Z79" s="79"/>
      <c r="AA79" s="79"/>
    </row>
    <row r="80" spans="2:27" s="1" customFormat="1" ht="22" customHeight="1" x14ac:dyDescent="0.45"/>
    <row r="81" spans="2:18" s="1" customFormat="1" ht="22" customHeight="1" x14ac:dyDescent="0.45">
      <c r="E81" s="93">
        <v>2027</v>
      </c>
      <c r="F81" s="93"/>
      <c r="G81" s="93"/>
      <c r="H81" s="93"/>
      <c r="I81" s="93"/>
      <c r="J81" s="93"/>
      <c r="K81" s="93">
        <v>2028</v>
      </c>
      <c r="L81" s="93"/>
      <c r="M81" s="93"/>
      <c r="N81" s="93"/>
      <c r="O81" s="93"/>
      <c r="Q81" s="117"/>
      <c r="R81" s="117"/>
    </row>
    <row r="82" spans="2:18" s="1" customFormat="1" ht="22" customHeight="1" x14ac:dyDescent="0.45">
      <c r="B82" s="90" t="s">
        <v>7</v>
      </c>
      <c r="C82" s="91"/>
      <c r="D82" s="92"/>
      <c r="E82" s="52">
        <f t="shared" ref="E82:E93" si="21">P48</f>
        <v>46477</v>
      </c>
      <c r="F82" s="52">
        <f t="shared" ref="F82:F93" si="22">Q48</f>
        <v>46479</v>
      </c>
      <c r="G82" s="73">
        <f t="shared" ref="G82:G93" si="23">R48</f>
        <v>46568</v>
      </c>
      <c r="H82" s="52">
        <f t="shared" ref="H82:H93" si="24">S48</f>
        <v>46660</v>
      </c>
      <c r="I82" s="73">
        <f t="shared" ref="I82:I93" si="25">T48</f>
        <v>46662</v>
      </c>
      <c r="J82" s="73">
        <f t="shared" ref="J82:J93" si="26">U48</f>
        <v>46752</v>
      </c>
      <c r="K82" s="52">
        <f t="shared" ref="K82:K93" si="27">V48</f>
        <v>46843</v>
      </c>
      <c r="L82" s="52">
        <f t="shared" ref="L82:L93" si="28">W48</f>
        <v>46845</v>
      </c>
      <c r="M82" s="52">
        <f t="shared" ref="M82:M93" si="29">X48</f>
        <v>46934</v>
      </c>
      <c r="N82" s="52">
        <f t="shared" ref="N82:N93" si="30">Y48</f>
        <v>47026</v>
      </c>
      <c r="O82" s="52">
        <f>Z48</f>
        <v>47089</v>
      </c>
      <c r="Q82" s="80"/>
      <c r="R82" s="80"/>
    </row>
    <row r="83" spans="2:18" s="1" customFormat="1" ht="22" customHeight="1" x14ac:dyDescent="0.45">
      <c r="B83" s="53" t="s">
        <v>46</v>
      </c>
      <c r="C83" s="54"/>
      <c r="D83" s="55">
        <f>+IF($F$17=1,0,IF(OR($F$21=1,$F$21=3),6,9))</f>
        <v>0</v>
      </c>
      <c r="E83" s="56">
        <f t="shared" si="21"/>
        <v>0</v>
      </c>
      <c r="F83" s="56">
        <f t="shared" si="22"/>
        <v>0</v>
      </c>
      <c r="G83" s="56">
        <f t="shared" si="23"/>
        <v>0</v>
      </c>
      <c r="H83" s="56">
        <f t="shared" si="24"/>
        <v>0</v>
      </c>
      <c r="I83" s="56">
        <f t="shared" si="25"/>
        <v>0</v>
      </c>
      <c r="J83" s="56">
        <f t="shared" si="26"/>
        <v>0</v>
      </c>
      <c r="K83" s="56">
        <f t="shared" si="27"/>
        <v>0</v>
      </c>
      <c r="L83" s="56">
        <f t="shared" si="28"/>
        <v>0</v>
      </c>
      <c r="M83" s="56">
        <f t="shared" si="29"/>
        <v>0</v>
      </c>
      <c r="N83" s="56">
        <f t="shared" si="30"/>
        <v>0</v>
      </c>
      <c r="O83" s="56">
        <f t="shared" ref="O83:O93" si="31">Z49</f>
        <v>0</v>
      </c>
      <c r="Q83" s="75"/>
      <c r="R83" s="75"/>
    </row>
    <row r="84" spans="2:18" s="1" customFormat="1" ht="22" customHeight="1" x14ac:dyDescent="0.45">
      <c r="B84" s="57" t="s">
        <v>16</v>
      </c>
      <c r="C84" s="54"/>
      <c r="D84" s="58" t="s">
        <v>13</v>
      </c>
      <c r="E84" s="56">
        <f t="shared" si="21"/>
        <v>0</v>
      </c>
      <c r="F84" s="56">
        <f t="shared" si="22"/>
        <v>0</v>
      </c>
      <c r="G84" s="56">
        <f t="shared" si="23"/>
        <v>0</v>
      </c>
      <c r="H84" s="56">
        <f t="shared" si="24"/>
        <v>0</v>
      </c>
      <c r="I84" s="56">
        <f t="shared" si="25"/>
        <v>0</v>
      </c>
      <c r="J84" s="56">
        <f t="shared" si="26"/>
        <v>0</v>
      </c>
      <c r="K84" s="56">
        <f t="shared" si="27"/>
        <v>0</v>
      </c>
      <c r="L84" s="56">
        <f t="shared" si="28"/>
        <v>0</v>
      </c>
      <c r="M84" s="56">
        <f t="shared" si="29"/>
        <v>0</v>
      </c>
      <c r="N84" s="56">
        <f t="shared" si="30"/>
        <v>0</v>
      </c>
      <c r="O84" s="56">
        <f t="shared" si="31"/>
        <v>2500</v>
      </c>
      <c r="Q84" s="75"/>
      <c r="R84" s="75"/>
    </row>
    <row r="85" spans="2:18" s="1" customFormat="1" ht="22" customHeight="1" x14ac:dyDescent="0.45">
      <c r="B85" s="59" t="s">
        <v>8</v>
      </c>
      <c r="C85" s="60"/>
      <c r="D85" s="61" t="str">
        <f>+IF($F$21=1,IF($F$6&lt;=8/0.002,"8€",IF($F$6&gt;8/0.002,0.2%)),IF($F$6&lt;=12/0.005,"12€",IF($F$6&gt;12/0.05, 0.5%)))</f>
        <v>8€</v>
      </c>
      <c r="E85" s="56">
        <f t="shared" si="21"/>
        <v>0</v>
      </c>
      <c r="F85" s="56">
        <f t="shared" si="22"/>
        <v>0</v>
      </c>
      <c r="G85" s="56">
        <f t="shared" si="23"/>
        <v>0</v>
      </c>
      <c r="H85" s="56">
        <f t="shared" si="24"/>
        <v>0</v>
      </c>
      <c r="I85" s="56">
        <f t="shared" si="25"/>
        <v>0</v>
      </c>
      <c r="J85" s="56">
        <f t="shared" si="26"/>
        <v>0</v>
      </c>
      <c r="K85" s="56">
        <f t="shared" si="27"/>
        <v>0</v>
      </c>
      <c r="L85" s="56">
        <f t="shared" si="28"/>
        <v>0</v>
      </c>
      <c r="M85" s="56">
        <f t="shared" si="29"/>
        <v>0</v>
      </c>
      <c r="N85" s="56">
        <f t="shared" si="30"/>
        <v>0</v>
      </c>
      <c r="O85" s="56">
        <f t="shared" si="31"/>
        <v>0</v>
      </c>
      <c r="Q85" s="75"/>
      <c r="R85" s="75"/>
    </row>
    <row r="86" spans="2:18" s="1" customFormat="1" ht="22" customHeight="1" x14ac:dyDescent="0.45">
      <c r="B86" s="57" t="s">
        <v>17</v>
      </c>
      <c r="C86" s="54"/>
      <c r="D86" s="62">
        <v>0.04</v>
      </c>
      <c r="E86" s="56">
        <f t="shared" si="21"/>
        <v>0</v>
      </c>
      <c r="F86" s="56">
        <f t="shared" si="22"/>
        <v>0</v>
      </c>
      <c r="G86" s="56">
        <f t="shared" si="23"/>
        <v>0</v>
      </c>
      <c r="H86" s="56">
        <f t="shared" si="24"/>
        <v>0</v>
      </c>
      <c r="I86" s="56">
        <f t="shared" si="25"/>
        <v>0</v>
      </c>
      <c r="J86" s="56">
        <f t="shared" si="26"/>
        <v>0</v>
      </c>
      <c r="K86" s="56">
        <f t="shared" si="27"/>
        <v>0</v>
      </c>
      <c r="L86" s="56">
        <f t="shared" si="28"/>
        <v>0</v>
      </c>
      <c r="M86" s="56">
        <f t="shared" si="29"/>
        <v>0</v>
      </c>
      <c r="N86" s="56">
        <f t="shared" si="30"/>
        <v>0</v>
      </c>
      <c r="O86" s="56">
        <f t="shared" si="31"/>
        <v>0</v>
      </c>
      <c r="Q86" s="75"/>
      <c r="R86" s="75"/>
    </row>
    <row r="87" spans="2:18" s="1" customFormat="1" ht="22" customHeight="1" x14ac:dyDescent="0.45">
      <c r="B87" s="57" t="s">
        <v>15</v>
      </c>
      <c r="C87" s="54"/>
      <c r="D87" s="63" t="s">
        <v>13</v>
      </c>
      <c r="E87" s="56">
        <f t="shared" si="21"/>
        <v>0</v>
      </c>
      <c r="F87" s="56">
        <f t="shared" si="22"/>
        <v>68.75</v>
      </c>
      <c r="G87" s="56">
        <f t="shared" si="23"/>
        <v>0</v>
      </c>
      <c r="H87" s="56">
        <f t="shared" si="24"/>
        <v>0</v>
      </c>
      <c r="I87" s="56">
        <f t="shared" si="25"/>
        <v>68.75</v>
      </c>
      <c r="J87" s="56">
        <f t="shared" si="26"/>
        <v>0</v>
      </c>
      <c r="K87" s="56">
        <f t="shared" si="27"/>
        <v>0</v>
      </c>
      <c r="L87" s="56">
        <f t="shared" si="28"/>
        <v>68.75</v>
      </c>
      <c r="M87" s="56">
        <f t="shared" si="29"/>
        <v>0</v>
      </c>
      <c r="N87" s="56">
        <f t="shared" si="30"/>
        <v>0</v>
      </c>
      <c r="O87" s="56">
        <f t="shared" si="31"/>
        <v>91.67</v>
      </c>
      <c r="Q87" s="75"/>
      <c r="R87" s="75"/>
    </row>
    <row r="88" spans="2:18" s="1" customFormat="1" ht="22" customHeight="1" x14ac:dyDescent="0.45">
      <c r="B88" s="57" t="str">
        <f>+IF(OR($F$23=1,$F$23=3),"IRS","IRC")</f>
        <v>IRS</v>
      </c>
      <c r="C88" s="54"/>
      <c r="D88" s="62">
        <f>+IF($F$23=1, 28%, IF($F$23=2, 25%, IF($F$23=3,22.4%,20%)))</f>
        <v>0.28000000000000003</v>
      </c>
      <c r="E88" s="56">
        <f t="shared" si="21"/>
        <v>0</v>
      </c>
      <c r="F88" s="56">
        <f t="shared" si="22"/>
        <v>-19.25</v>
      </c>
      <c r="G88" s="56">
        <f t="shared" si="23"/>
        <v>0</v>
      </c>
      <c r="H88" s="56">
        <f t="shared" si="24"/>
        <v>0</v>
      </c>
      <c r="I88" s="56">
        <f t="shared" si="25"/>
        <v>-19.25</v>
      </c>
      <c r="J88" s="56">
        <f t="shared" si="26"/>
        <v>0</v>
      </c>
      <c r="K88" s="56">
        <f t="shared" si="27"/>
        <v>0</v>
      </c>
      <c r="L88" s="56">
        <f t="shared" si="28"/>
        <v>-19.25</v>
      </c>
      <c r="M88" s="56">
        <f t="shared" si="29"/>
        <v>0</v>
      </c>
      <c r="N88" s="56">
        <f t="shared" si="30"/>
        <v>0</v>
      </c>
      <c r="O88" s="56">
        <f t="shared" si="31"/>
        <v>-25.67</v>
      </c>
      <c r="Q88" s="75"/>
      <c r="R88" s="75"/>
    </row>
    <row r="89" spans="2:18" s="1" customFormat="1" ht="22" customHeight="1" x14ac:dyDescent="0.45">
      <c r="B89" s="57" t="s">
        <v>12</v>
      </c>
      <c r="C89" s="54"/>
      <c r="D89" s="62">
        <v>2.4E-2</v>
      </c>
      <c r="E89" s="56">
        <f t="shared" si="21"/>
        <v>0</v>
      </c>
      <c r="F89" s="56">
        <f t="shared" si="22"/>
        <v>-1.19</v>
      </c>
      <c r="G89" s="56">
        <f t="shared" si="23"/>
        <v>0</v>
      </c>
      <c r="H89" s="56">
        <f t="shared" si="24"/>
        <v>0</v>
      </c>
      <c r="I89" s="56">
        <f t="shared" si="25"/>
        <v>-1.19</v>
      </c>
      <c r="J89" s="56">
        <f t="shared" si="26"/>
        <v>0</v>
      </c>
      <c r="K89" s="56">
        <f t="shared" si="27"/>
        <v>0</v>
      </c>
      <c r="L89" s="56">
        <f t="shared" si="28"/>
        <v>-1.19</v>
      </c>
      <c r="M89" s="56">
        <f t="shared" si="29"/>
        <v>0</v>
      </c>
      <c r="N89" s="56">
        <f t="shared" si="30"/>
        <v>0</v>
      </c>
      <c r="O89" s="56">
        <f t="shared" si="31"/>
        <v>-1.58</v>
      </c>
      <c r="Q89" s="75"/>
      <c r="R89" s="75"/>
    </row>
    <row r="90" spans="2:18" s="1" customFormat="1" ht="22" customHeight="1" x14ac:dyDescent="0.45">
      <c r="B90" s="57" t="s">
        <v>11</v>
      </c>
      <c r="C90" s="54"/>
      <c r="D90" s="62">
        <v>3.5000000000000001E-3</v>
      </c>
      <c r="E90" s="56">
        <f t="shared" si="21"/>
        <v>0</v>
      </c>
      <c r="F90" s="56">
        <f t="shared" si="22"/>
        <v>0</v>
      </c>
      <c r="G90" s="56">
        <f t="shared" si="23"/>
        <v>0</v>
      </c>
      <c r="H90" s="56">
        <f t="shared" si="24"/>
        <v>0</v>
      </c>
      <c r="I90" s="56">
        <f t="shared" si="25"/>
        <v>0</v>
      </c>
      <c r="J90" s="56">
        <f t="shared" si="26"/>
        <v>0</v>
      </c>
      <c r="K90" s="56">
        <f t="shared" si="27"/>
        <v>0</v>
      </c>
      <c r="L90" s="56">
        <f t="shared" si="28"/>
        <v>0</v>
      </c>
      <c r="M90" s="56">
        <f t="shared" si="29"/>
        <v>0</v>
      </c>
      <c r="N90" s="56">
        <f t="shared" si="30"/>
        <v>0</v>
      </c>
      <c r="O90" s="56">
        <f t="shared" si="31"/>
        <v>-8.75</v>
      </c>
      <c r="Q90" s="75"/>
      <c r="R90" s="75"/>
    </row>
    <row r="91" spans="2:18" s="1" customFormat="1" ht="22" customHeight="1" x14ac:dyDescent="0.45">
      <c r="B91" s="57" t="s">
        <v>5</v>
      </c>
      <c r="C91" s="54"/>
      <c r="D91" s="55">
        <f>+IF($F$19=1,0,0.4)</f>
        <v>0</v>
      </c>
      <c r="E91" s="56">
        <f t="shared" si="21"/>
        <v>0</v>
      </c>
      <c r="F91" s="56">
        <f t="shared" si="22"/>
        <v>0</v>
      </c>
      <c r="G91" s="56">
        <f t="shared" si="23"/>
        <v>0</v>
      </c>
      <c r="H91" s="56">
        <f t="shared" si="24"/>
        <v>0</v>
      </c>
      <c r="I91" s="56">
        <f t="shared" si="25"/>
        <v>0</v>
      </c>
      <c r="J91" s="56">
        <f t="shared" si="26"/>
        <v>0</v>
      </c>
      <c r="K91" s="56">
        <f t="shared" si="27"/>
        <v>0</v>
      </c>
      <c r="L91" s="56">
        <f t="shared" si="28"/>
        <v>0</v>
      </c>
      <c r="M91" s="56">
        <f t="shared" si="29"/>
        <v>0</v>
      </c>
      <c r="N91" s="56">
        <f t="shared" si="30"/>
        <v>0</v>
      </c>
      <c r="O91" s="56">
        <f t="shared" si="31"/>
        <v>0</v>
      </c>
      <c r="Q91" s="75"/>
      <c r="R91" s="75"/>
    </row>
    <row r="92" spans="2:18" s="1" customFormat="1" ht="22" customHeight="1" x14ac:dyDescent="0.45">
      <c r="B92" s="59" t="s">
        <v>14</v>
      </c>
      <c r="C92" s="60"/>
      <c r="D92" s="55">
        <f>+IF($F$19=1,0,1.05)</f>
        <v>0</v>
      </c>
      <c r="E92" s="56">
        <f t="shared" si="21"/>
        <v>0</v>
      </c>
      <c r="F92" s="56">
        <f t="shared" si="22"/>
        <v>0</v>
      </c>
      <c r="G92" s="56">
        <f t="shared" si="23"/>
        <v>0</v>
      </c>
      <c r="H92" s="56">
        <f t="shared" si="24"/>
        <v>0</v>
      </c>
      <c r="I92" s="56">
        <f t="shared" si="25"/>
        <v>0</v>
      </c>
      <c r="J92" s="56">
        <f t="shared" si="26"/>
        <v>0</v>
      </c>
      <c r="K92" s="56">
        <f t="shared" si="27"/>
        <v>0</v>
      </c>
      <c r="L92" s="56">
        <f t="shared" si="28"/>
        <v>0</v>
      </c>
      <c r="M92" s="56">
        <f t="shared" si="29"/>
        <v>0</v>
      </c>
      <c r="N92" s="56">
        <f t="shared" si="30"/>
        <v>0</v>
      </c>
      <c r="O92" s="56">
        <f t="shared" si="31"/>
        <v>0</v>
      </c>
      <c r="Q92" s="75"/>
      <c r="R92" s="75"/>
    </row>
    <row r="93" spans="2:18" s="1" customFormat="1" ht="22" customHeight="1" x14ac:dyDescent="0.45">
      <c r="B93" s="57" t="s">
        <v>6</v>
      </c>
      <c r="C93" s="54"/>
      <c r="D93" s="62">
        <v>0.23</v>
      </c>
      <c r="E93" s="56">
        <f t="shared" si="21"/>
        <v>0</v>
      </c>
      <c r="F93" s="56">
        <f t="shared" si="22"/>
        <v>-0.27</v>
      </c>
      <c r="G93" s="56">
        <f t="shared" si="23"/>
        <v>0</v>
      </c>
      <c r="H93" s="56">
        <f t="shared" si="24"/>
        <v>0</v>
      </c>
      <c r="I93" s="56">
        <f t="shared" si="25"/>
        <v>-0.27</v>
      </c>
      <c r="J93" s="56">
        <f t="shared" si="26"/>
        <v>0</v>
      </c>
      <c r="K93" s="56">
        <f t="shared" si="27"/>
        <v>0</v>
      </c>
      <c r="L93" s="56">
        <f t="shared" si="28"/>
        <v>-0.27</v>
      </c>
      <c r="M93" s="56">
        <f t="shared" si="29"/>
        <v>0</v>
      </c>
      <c r="N93" s="56">
        <f t="shared" si="30"/>
        <v>0</v>
      </c>
      <c r="O93" s="56">
        <f t="shared" si="31"/>
        <v>-2.38</v>
      </c>
      <c r="Q93" s="75"/>
      <c r="R93" s="75"/>
    </row>
    <row r="94" spans="2:18" s="1" customFormat="1" ht="22" customHeight="1" x14ac:dyDescent="0.45">
      <c r="B94" s="96" t="s">
        <v>21</v>
      </c>
      <c r="C94" s="97"/>
      <c r="D94" s="98"/>
      <c r="E94" s="78">
        <f>+SUM(E83:E93)</f>
        <v>0</v>
      </c>
      <c r="F94" s="78">
        <f>+SUM(F83:F93)</f>
        <v>48.04</v>
      </c>
      <c r="G94" s="78">
        <f>+SUM(G83:G93)</f>
        <v>0</v>
      </c>
      <c r="H94" s="78">
        <f>+SUM(H83:H93)</f>
        <v>0</v>
      </c>
      <c r="I94" s="78">
        <f t="shared" ref="I94:K94" si="32">+SUM(I83:I93)</f>
        <v>48.04</v>
      </c>
      <c r="J94" s="78">
        <f t="shared" si="32"/>
        <v>0</v>
      </c>
      <c r="K94" s="78">
        <f t="shared" si="32"/>
        <v>0</v>
      </c>
      <c r="L94" s="78">
        <f t="shared" ref="L94:N94" si="33">+SUM(L83:L93)</f>
        <v>48.04</v>
      </c>
      <c r="M94" s="78">
        <f t="shared" si="33"/>
        <v>0</v>
      </c>
      <c r="N94" s="78">
        <f t="shared" si="33"/>
        <v>0</v>
      </c>
      <c r="O94" s="78">
        <f>+SUM(O83:O93)</f>
        <v>2553.29</v>
      </c>
      <c r="Q94" s="79"/>
      <c r="R94" s="79"/>
    </row>
    <row r="95" spans="2:18" s="1" customFormat="1" ht="22" customHeight="1" x14ac:dyDescent="0.45"/>
    <row r="96" spans="2:18" s="1" customFormat="1" ht="16" customHeight="1" x14ac:dyDescent="0.45">
      <c r="B96" s="44" t="s">
        <v>10</v>
      </c>
    </row>
    <row r="97" spans="2:18" s="1" customFormat="1" ht="16" customHeight="1" x14ac:dyDescent="0.45">
      <c r="B97" s="44" t="s">
        <v>9</v>
      </c>
    </row>
    <row r="98" spans="2:18" s="1" customFormat="1" ht="40" customHeight="1" x14ac:dyDescent="0.45">
      <c r="B98" s="99" t="s">
        <v>40</v>
      </c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</row>
    <row r="99" spans="2:18" s="1" customFormat="1" x14ac:dyDescent="0.45"/>
    <row r="65540" spans="2:4" x14ac:dyDescent="0.45">
      <c r="B65540" s="9" t="s">
        <v>31</v>
      </c>
      <c r="C65540" s="9" t="s">
        <v>0</v>
      </c>
      <c r="D65540" s="9" t="s">
        <v>23</v>
      </c>
    </row>
    <row r="65541" spans="2:4" x14ac:dyDescent="0.45">
      <c r="B65541" s="9" t="s">
        <v>32</v>
      </c>
      <c r="C65541" s="9" t="s">
        <v>36</v>
      </c>
      <c r="D65541" s="9" t="s">
        <v>24</v>
      </c>
    </row>
    <row r="65542" spans="2:4" x14ac:dyDescent="0.45">
      <c r="C65542" s="9" t="s">
        <v>35</v>
      </c>
      <c r="D65542" s="9" t="s">
        <v>25</v>
      </c>
    </row>
    <row r="65543" spans="2:4" x14ac:dyDescent="0.45">
      <c r="D65543" s="9" t="s">
        <v>26</v>
      </c>
    </row>
  </sheetData>
  <sheetProtection algorithmName="SHA-512" hashValue="BU9utnMPE95mw5H+oahggcnJggk6Haz68lmuLiq336QYHoQC5Z74L+PxhM0GJ2WyjkedDCsG8YexqSXwmGpRzQ==" saltValue="i7XggtQMzccub6KZbp+0uQ==" spinCount="100000" sheet="1" objects="1" scenarios="1"/>
  <mergeCells count="38">
    <mergeCell ref="B6:E6"/>
    <mergeCell ref="F6:G6"/>
    <mergeCell ref="B8:E8"/>
    <mergeCell ref="F8:G8"/>
    <mergeCell ref="B10:E10"/>
    <mergeCell ref="F10:G10"/>
    <mergeCell ref="O3:O4"/>
    <mergeCell ref="B3:G4"/>
    <mergeCell ref="L3:L4"/>
    <mergeCell ref="M3:M4"/>
    <mergeCell ref="N3:N4"/>
    <mergeCell ref="B98:R98"/>
    <mergeCell ref="B94:D94"/>
    <mergeCell ref="B82:D82"/>
    <mergeCell ref="B12:E12"/>
    <mergeCell ref="F12:G12"/>
    <mergeCell ref="F14:G14"/>
    <mergeCell ref="B42:R42"/>
    <mergeCell ref="B48:D48"/>
    <mergeCell ref="B60:D60"/>
    <mergeCell ref="F41:G41"/>
    <mergeCell ref="B25:C25"/>
    <mergeCell ref="B36:D36"/>
    <mergeCell ref="B40:Q40"/>
    <mergeCell ref="Q81:R81"/>
    <mergeCell ref="V47:Z47"/>
    <mergeCell ref="K81:O81"/>
    <mergeCell ref="E47:I47"/>
    <mergeCell ref="J47:O47"/>
    <mergeCell ref="B41:E41"/>
    <mergeCell ref="P47:U47"/>
    <mergeCell ref="Y66:AA66"/>
    <mergeCell ref="E81:J81"/>
    <mergeCell ref="B67:D67"/>
    <mergeCell ref="B79:D79"/>
    <mergeCell ref="S66:V66"/>
    <mergeCell ref="E66:I66"/>
    <mergeCell ref="J66:O66"/>
  </mergeCells>
  <conditionalFormatting sqref="E68:O78 E83:O93 Q83:R93">
    <cfRule type="cellIs" dxfId="18" priority="197" operator="equal">
      <formula>0</formula>
    </cfRule>
  </conditionalFormatting>
  <conditionalFormatting sqref="S68:W75 S78:W78 T76:T77">
    <cfRule type="cellIs" dxfId="17" priority="190" operator="equal">
      <formula>0</formula>
    </cfRule>
  </conditionalFormatting>
  <conditionalFormatting sqref="S76:S77">
    <cfRule type="cellIs" dxfId="16" priority="189" operator="equal">
      <formula>0</formula>
    </cfRule>
  </conditionalFormatting>
  <conditionalFormatting sqref="U76:W77">
    <cfRule type="cellIs" dxfId="15" priority="188" operator="equal">
      <formula>0</formula>
    </cfRule>
  </conditionalFormatting>
  <conditionalFormatting sqref="Y68:AA75 Y78:AA78 Z76:Z77">
    <cfRule type="cellIs" dxfId="14" priority="42" operator="equal">
      <formula>0</formula>
    </cfRule>
  </conditionalFormatting>
  <conditionalFormatting sqref="Y76:Y77">
    <cfRule type="cellIs" dxfId="13" priority="41" operator="equal">
      <formula>0</formula>
    </cfRule>
  </conditionalFormatting>
  <conditionalFormatting sqref="AA76:AA77">
    <cfRule type="cellIs" dxfId="12" priority="40" operator="equal">
      <formula>0</formula>
    </cfRule>
  </conditionalFormatting>
  <conditionalFormatting sqref="L51:S52 E51:I53 L56:S56 K53:AA53">
    <cfRule type="cellIs" dxfId="11" priority="16" operator="equal">
      <formula>0</formula>
    </cfRule>
  </conditionalFormatting>
  <conditionalFormatting sqref="S56:T56 S51:T52 V56:Y56 V51:Z52">
    <cfRule type="cellIs" dxfId="10" priority="15" operator="equal">
      <formula>0</formula>
    </cfRule>
  </conditionalFormatting>
  <conditionalFormatting sqref="J51:J52 E56:J56 E49:AA49 E54:AA55 E57:AA59">
    <cfRule type="cellIs" dxfId="9" priority="14" operator="equal">
      <formula>0</formula>
    </cfRule>
  </conditionalFormatting>
  <conditionalFormatting sqref="I51:I52">
    <cfRule type="cellIs" dxfId="8" priority="13" operator="equal">
      <formula>0</formula>
    </cfRule>
  </conditionalFormatting>
  <conditionalFormatting sqref="K51:K52 K56">
    <cfRule type="cellIs" dxfId="7" priority="12" operator="equal">
      <formula>0</formula>
    </cfRule>
  </conditionalFormatting>
  <conditionalFormatting sqref="U51:U52 U56">
    <cfRule type="cellIs" dxfId="6" priority="11" operator="equal">
      <formula>0</formula>
    </cfRule>
  </conditionalFormatting>
  <conditionalFormatting sqref="Y56 Y51:Y52">
    <cfRule type="cellIs" dxfId="5" priority="10" operator="equal">
      <formula>0</formula>
    </cfRule>
  </conditionalFormatting>
  <conditionalFormatting sqref="Z51:AA52 AA56">
    <cfRule type="cellIs" dxfId="4" priority="9" operator="equal">
      <formula>0</formula>
    </cfRule>
  </conditionalFormatting>
  <conditionalFormatting sqref="E51:H52 E50:AA50">
    <cfRule type="cellIs" dxfId="3" priority="7" operator="equal">
      <formula>0</formula>
    </cfRule>
  </conditionalFormatting>
  <conditionalFormatting sqref="E50:AA50">
    <cfRule type="cellIs" dxfId="2" priority="6" operator="equal">
      <formula>0</formula>
    </cfRule>
  </conditionalFormatting>
  <conditionalFormatting sqref="J53">
    <cfRule type="cellIs" dxfId="1" priority="3" operator="equal">
      <formula>0</formula>
    </cfRule>
  </conditionalFormatting>
  <conditionalFormatting sqref="Z56">
    <cfRule type="cellIs" dxfId="0" priority="1" operator="equal">
      <formula>0</formula>
    </cfRule>
  </conditionalFormatting>
  <dataValidations count="1">
    <dataValidation type="custom" allowBlank="1" showInputMessage="1" showErrorMessage="1" errorTitle="Montante" error="O mínimo de investimento é 2.500€, com múltiplos de 5€." promptTitle="Montante" prompt="Mínimo: 2.500€ ; Múltiplos: 5€" sqref="F6:G6" xr:uid="{6943ED85-6702-418E-A018-5C416C35D3E3}">
      <formula1>+AND(F6&gt;=2500,MOD(F6,5)=0)</formula1>
    </dataValidation>
  </dataValidations>
  <hyperlinks>
    <hyperlink ref="F41" r:id="rId1" xr:uid="{15CFB9DC-DC8B-4F9D-8CAA-15857E0338C7}"/>
    <hyperlink ref="F41:G41" r:id="rId2" display="disponíveis aqui." xr:uid="{073B85BA-A6BD-4106-AB1A-CD98D091F0B2}"/>
  </hyperlinks>
  <pageMargins left="0.62" right="0.16" top="0.74803149606299213" bottom="0.74803149606299213" header="0.31496062992125984" footer="0.31496062992125984"/>
  <pageSetup paperSize="9" scale="45" orientation="landscape" r:id="rId3"/>
  <headerFooter>
    <oddFooter>Page &amp;P of &amp;N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6" name="Drop Down 1">
              <controlPr defaultSize="0" autoLine="0" autoPict="0">
                <anchor moveWithCells="1">
                  <from>
                    <xdr:col>5</xdr:col>
                    <xdr:colOff>12700</xdr:colOff>
                    <xdr:row>16</xdr:row>
                    <xdr:rowOff>0</xdr:rowOff>
                  </from>
                  <to>
                    <xdr:col>8</xdr:col>
                    <xdr:colOff>609600</xdr:colOff>
                    <xdr:row>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7" name="Drop Down 2">
              <controlPr defaultSize="0" autoLine="0" autoPict="0">
                <anchor moveWithCells="1">
                  <from>
                    <xdr:col>5</xdr:col>
                    <xdr:colOff>0</xdr:colOff>
                    <xdr:row>20</xdr:row>
                    <xdr:rowOff>12700</xdr:rowOff>
                  </from>
                  <to>
                    <xdr:col>6</xdr:col>
                    <xdr:colOff>812800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8" name="Drop Down 3">
              <controlPr defaultSize="0" autoLine="0" autoPict="0">
                <anchor moveWithCells="1">
                  <from>
                    <xdr:col>5</xdr:col>
                    <xdr:colOff>12700</xdr:colOff>
                    <xdr:row>18</xdr:row>
                    <xdr:rowOff>0</xdr:rowOff>
                  </from>
                  <to>
                    <xdr:col>8</xdr:col>
                    <xdr:colOff>609600</xdr:colOff>
                    <xdr:row>18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9" name="Drop Down 4">
              <controlPr defaultSize="0" autoLine="0" autoPict="0">
                <anchor moveWithCells="1">
                  <from>
                    <xdr:col>5</xdr:col>
                    <xdr:colOff>0</xdr:colOff>
                    <xdr:row>22</xdr:row>
                    <xdr:rowOff>0</xdr:rowOff>
                  </from>
                  <to>
                    <xdr:col>8</xdr:col>
                    <xdr:colOff>609600</xdr:colOff>
                    <xdr:row>22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10" name="Drop Down 5">
              <controlPr defaultSize="0" autoLine="0" autoPict="0">
                <anchor moveWithCells="1">
                  <from>
                    <xdr:col>5</xdr:col>
                    <xdr:colOff>12700</xdr:colOff>
                    <xdr:row>20</xdr:row>
                    <xdr:rowOff>0</xdr:rowOff>
                  </from>
                  <to>
                    <xdr:col>8</xdr:col>
                    <xdr:colOff>609600</xdr:colOff>
                    <xdr:row>20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427F2C4694DF479E6E24EFD67CA035" ma:contentTypeVersion="2" ma:contentTypeDescription="Create a new document." ma:contentTypeScope="" ma:versionID="d9e1e77fc334cce306fc71172b34b69f">
  <xsd:schema xmlns:xsd="http://www.w3.org/2001/XMLSchema" xmlns:xs="http://www.w3.org/2001/XMLSchema" xmlns:p="http://schemas.microsoft.com/office/2006/metadata/properties" xmlns:ns1="http://schemas.microsoft.com/sharepoint/v3" xmlns:ns2="f86e5673-1f69-4c95-98bb-5ebb23ac1d5c" targetNamespace="http://schemas.microsoft.com/office/2006/metadata/properties" ma:root="true" ma:fieldsID="1808d3da46ca653fa7d6b9f36f570036" ns1:_="" ns2:_="">
    <xsd:import namespace="http://schemas.microsoft.com/sharepoint/v3"/>
    <xsd:import namespace="f86e5673-1f69-4c95-98bb-5ebb23ac1d5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6e5673-1f69-4c95-98bb-5ebb23ac1d5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16C6394-4369-439A-81E2-4D69C6216EE5}"/>
</file>

<file path=customXml/itemProps2.xml><?xml version="1.0" encoding="utf-8"?>
<ds:datastoreItem xmlns:ds="http://schemas.openxmlformats.org/officeDocument/2006/customXml" ds:itemID="{DD1A84DE-1A1A-4351-B73B-4C178DFCD6A3}"/>
</file>

<file path=customXml/itemProps3.xml><?xml version="1.0" encoding="utf-8"?>
<ds:datastoreItem xmlns:ds="http://schemas.openxmlformats.org/officeDocument/2006/customXml" ds:itemID="{5C20AC73-A8A5-474A-92D3-4CCF9A72455E}"/>
</file>

<file path=docMetadata/LabelInfo.xml><?xml version="1.0" encoding="utf-8"?>
<clbl:labelList xmlns:clbl="http://schemas.microsoft.com/office/2020/mipLabelMetadata">
  <clbl:label id="{2ffd489d-8342-4f0c-9e5b-a69a195a9b09}" enabled="1" method="Privileged" siteId="{5d89951c-b62b-46bf-b261-910b5240b0e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Simulador TIR</vt:lpstr>
      <vt:lpstr>'Simulador TIR'!Print_Area</vt:lpstr>
    </vt:vector>
  </TitlesOfParts>
  <Company>Millennium BCP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Printed>2021-11-16T11:30:50Z</cp:lastPrinted>
  <dcterms:created xsi:type="dcterms:W3CDTF">2012-10-09T08:40:19Z</dcterms:created>
  <dcterms:modified xsi:type="dcterms:W3CDTF">2025-03-14T14:25:41Z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0x01010033427F2C4694DF479E6E24EFD67CA035</vt:lpwstr>
  </property>
</Properties>
</file>